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Greg Graziani\Downloads\"/>
    </mc:Choice>
  </mc:AlternateContent>
  <xr:revisionPtr revIDLastSave="0" documentId="13_ncr:1_{A78692CE-3894-44DC-B3A4-A68206BE7A35}" xr6:coauthVersionLast="47" xr6:coauthVersionMax="47" xr10:uidLastSave="{00000000-0000-0000-0000-000000000000}"/>
  <bookViews>
    <workbookView xWindow="-120" yWindow="-120" windowWidth="29040" windowHeight="15720" activeTab="1" xr2:uid="{BC274708-15A5-4561-81AE-BFAB52FB1A99}"/>
  </bookViews>
  <sheets>
    <sheet name="About" sheetId="20" r:id="rId1"/>
    <sheet name="Cash Flow (Indirect)" sheetId="16" r:id="rId2"/>
    <sheet name="Detailed Cash Flow" sheetId="22" r:id="rId3"/>
    <sheet name="Supporting Information &gt;&gt;" sheetId="18" r:id="rId4"/>
    <sheet name="P&amp;L" sheetId="3" r:id="rId5"/>
    <sheet name="Balance Sheet" sheetId="17" r:id="rId6"/>
    <sheet name="Drivers" sheetId="4" state="hidden" r:id="rId7"/>
  </sheets>
  <externalReferences>
    <externalReference r:id="rId8"/>
    <externalReference r:id="rId9"/>
  </externalReferences>
  <definedNames>
    <definedName name="AS2DocOpenMode" hidden="1">"AS2DocumentEdit"</definedName>
    <definedName name="Cube_Columns_R11cff92c_0429_4a24_8c4f_eee3e3f33e58" localSheetId="4">'P&amp;L'!$D$9:$Q$10</definedName>
    <definedName name="Cube_Columns_R5bfb8496_da1c_40af_9073_431ec22f02b5" localSheetId="5">'Balance Sheet'!$D$9:$R$10</definedName>
    <definedName name="Cube_Columns_R8a3f4420_5e59_4e68_825d_4b72699a8ef2" localSheetId="4">'P&amp;L'!$F$9:$R$10</definedName>
    <definedName name="Cube_Columns_R9194339a_49ff_4c0f_8adf_e4bb8aafe331" localSheetId="1">'Cash Flow (Indirect)'!$D$9:$O$9</definedName>
    <definedName name="Cube_Columns_R9194339a_49ff_4c0f_8adf_e4bb8aafe331" localSheetId="2">'Detailed Cash Flow'!$D$9:$O$9</definedName>
    <definedName name="Cube_Columns_R9722998f_5ddc_47f8_ab42_af25deec9f92" localSheetId="1">'Cash Flow (Indirect)'!$D$9:$O$9</definedName>
    <definedName name="Cube_Columns_R9722998f_5ddc_47f8_ab42_af25deec9f92" localSheetId="2">'Detailed Cash Flow'!$D$9:$O$9</definedName>
    <definedName name="Cube_Columns_Rba5cded3_7c0d_43d2_92fd_07e9ed28047b" localSheetId="1">'Cash Flow (Indirect)'!$D$9:$O$9</definedName>
    <definedName name="Cube_Columns_Rba5cded3_7c0d_43d2_92fd_07e9ed28047b" localSheetId="2">'Detailed Cash Flow'!$D$9:$O$9</definedName>
    <definedName name="Cube_Columns_Rd2fb8bbe_de00_459c_bb74_907581af93a2" localSheetId="1">'Cash Flow (Indirect)'!$D$9:$O$9</definedName>
    <definedName name="Cube_Columns_Rd2fb8bbe_de00_459c_bb74_907581af93a2" localSheetId="2">'Detailed Cash Flow'!$D$9:$O$9</definedName>
    <definedName name="Cube_Overall_R11cff92c_0429_4a24_8c4f_eee3e3f33e58" localSheetId="4">'P&amp;L'!$C$9:$Q$63</definedName>
    <definedName name="Cube_Overall_R5bfb8496_da1c_40af_9073_431ec22f02b5" localSheetId="5">'Balance Sheet'!$C$9:$R$48</definedName>
    <definedName name="Cube_Overall_R8a3f4420_5e59_4e68_825d_4b72699a8ef2" localSheetId="4">'P&amp;L'!$C$9:$R$63</definedName>
    <definedName name="Cube_Overall_R9194339a_49ff_4c0f_8adf_e4bb8aafe331" localSheetId="1">'Cash Flow (Indirect)'!$D$9:$O$55</definedName>
    <definedName name="Cube_Overall_R9194339a_49ff_4c0f_8adf_e4bb8aafe331" localSheetId="2">'Detailed Cash Flow'!$D$9:$O$51</definedName>
    <definedName name="Cube_Overall_R9722998f_5ddc_47f8_ab42_af25deec9f92" localSheetId="1">'Cash Flow (Indirect)'!$C$9:$O$55</definedName>
    <definedName name="Cube_Overall_R9722998f_5ddc_47f8_ab42_af25deec9f92" localSheetId="2">'Detailed Cash Flow'!$C$9:$O$51</definedName>
    <definedName name="Cube_Overall_Rba5cded3_7c0d_43d2_92fd_07e9ed28047b" localSheetId="1">'Cash Flow (Indirect)'!$C$9:$O$55</definedName>
    <definedName name="Cube_Overall_Rba5cded3_7c0d_43d2_92fd_07e9ed28047b" localSheetId="2">'Detailed Cash Flow'!$C$9:$O$51</definedName>
    <definedName name="Cube_Overall_Rd2fb8bbe_de00_459c_bb74_907581af93a2" localSheetId="1">'Cash Flow (Indirect)'!$D$9:$O$55</definedName>
    <definedName name="Cube_Overall_Rd2fb8bbe_de00_459c_bb74_907581af93a2" localSheetId="2">'Detailed Cash Flow'!$D$9:$O$51</definedName>
    <definedName name="Cube_Rows_R11cff92c_0429_4a24_8c4f_eee3e3f33e58" localSheetId="4">'P&amp;L'!$C$12:$C$63</definedName>
    <definedName name="Cube_Rows_R5bfb8496_da1c_40af_9073_431ec22f02b5" localSheetId="5">'Balance Sheet'!$C$11:$C$48</definedName>
    <definedName name="Cube_Rows_R8a3f4420_5e59_4e68_825d_4b72699a8ef2" localSheetId="4">'P&amp;L'!$C$12:$C$63</definedName>
    <definedName name="Cube_Rows_R9194339a_49ff_4c0f_8adf_e4bb8aafe331" localSheetId="1">'Cash Flow (Indirect)'!#REF!</definedName>
    <definedName name="Cube_Rows_R9194339a_49ff_4c0f_8adf_e4bb8aafe331" localSheetId="2">'Detailed Cash Flow'!#REF!</definedName>
    <definedName name="Cube_Rows_R9722998f_5ddc_47f8_ab42_af25deec9f92" localSheetId="1">'Cash Flow (Indirect)'!$C$12:$C$55</definedName>
    <definedName name="Cube_Rows_R9722998f_5ddc_47f8_ab42_af25deec9f92" localSheetId="2">'Detailed Cash Flow'!$C$12:$C$51</definedName>
    <definedName name="Cube_Rows_Rba5cded3_7c0d_43d2_92fd_07e9ed28047b" localSheetId="1">'Cash Flow (Indirect)'!$C$12:$C$55</definedName>
    <definedName name="Cube_Rows_Rba5cded3_7c0d_43d2_92fd_07e9ed28047b" localSheetId="2">'Detailed Cash Flow'!$C$12:$C$51</definedName>
    <definedName name="Cube_Rows_Rd2fb8bbe_de00_459c_bb74_907581af93a2" localSheetId="1">'Cash Flow (Indirect)'!#REF!</definedName>
    <definedName name="Cube_Rows_Rd2fb8bbe_de00_459c_bb74_907581af93a2" localSheetId="2">'Detailed Cash Flow'!#REF!</definedName>
    <definedName name="CubeColumnsnull1689077166">#REF!</definedName>
    <definedName name="CubeColumnsnull523800400">#REF!</definedName>
    <definedName name="CubeColumnsR1a87e49d_7667_4d70_9cf0_9e42753600771689077166">#REF!</definedName>
    <definedName name="CubeColumnsR20474354_5839_417c_8569_6e230de37ed81920167784">#REF!</definedName>
    <definedName name="CubeColumnsR7aa85366_8191_43c1_b18d_94f1b0fa46dc1414349549">#REF!</definedName>
    <definedName name="CubeColumnsR7dfd60d1_7408_422b_bd0c_471047821a7347136092">#REF!</definedName>
    <definedName name="CubeColumnsRdf374e6a_0b6d_44cb_9e2f_31b2e73020a7523800400">#REF!</definedName>
    <definedName name="CubeColumnsRdf522cbe_75a8_41cc_b5ef_256ab9f66a1b344852389">#REF!</definedName>
    <definedName name="CubeColumnsRe0eff78c_a82a_45d5_918f_f59b5d607fa91573555146">#REF!</definedName>
    <definedName name="CubeOverallnull1689077166">#REF!</definedName>
    <definedName name="CubeOverallnull523800400">#REF!</definedName>
    <definedName name="CubeOverallR1a87e49d_7667_4d70_9cf0_9e42753600771689077166">#REF!</definedName>
    <definedName name="CubeOverallR20474354_5839_417c_8569_6e230de37ed81920167784">#REF!</definedName>
    <definedName name="CubeOverallR7aa85366_8191_43c1_b18d_94f1b0fa46dc1414349549">#REF!</definedName>
    <definedName name="CubeOverallR7dfd60d1_7408_422b_bd0c_471047821a7347136092">#REF!</definedName>
    <definedName name="CubeOverallRdf374e6a_0b6d_44cb_9e2f_31b2e73020a7523800400">#REF!</definedName>
    <definedName name="CubeOverallRdf522cbe_75a8_41cc_b5ef_256ab9f66a1b344852389">#REF!</definedName>
    <definedName name="CubeOverallRe0eff78c_a82a_45d5_918f_f59b5d607fa91573555146">#REF!</definedName>
    <definedName name="CubeRowsnull1689077166">#REF!</definedName>
    <definedName name="CubeRowsnull523800400">#REF!</definedName>
    <definedName name="CubeRowsR1a87e49d_7667_4d70_9cf0_9e42753600771689077166">#REF!</definedName>
    <definedName name="CubeRowsR20474354_5839_417c_8569_6e230de37ed81920167784">#REF!</definedName>
    <definedName name="CubeRowsR7aa85366_8191_43c1_b18d_94f1b0fa46dc1414349549">#REF!</definedName>
    <definedName name="CubeRowsR7dfd60d1_7408_422b_bd0c_471047821a7347136092">#REF!</definedName>
    <definedName name="CubeRowsRdf374e6a_0b6d_44cb_9e2f_31b2e73020a7523800400">#REF!</definedName>
    <definedName name="CubeRowsRdf522cbe_75a8_41cc_b5ef_256ab9f66a1b344852389">#REF!</definedName>
    <definedName name="CubeRowsRe0eff78c_a82a_45d5_918f_f59b5d607fa91573555146">#REF!</definedName>
    <definedName name="Departments">'[1]Budget Drivers'!$B$11:$B$26</definedName>
    <definedName name="Duration">[2]Drivers!$L$9:$L$11</definedName>
    <definedName name="Entities">[2]Drivers!$E$9:$E$12</definedName>
    <definedName name="ForecastVersion">Drivers!$E$5:$E$6</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nths">'[1]Budget Drivers'!$B$51:$B$86</definedName>
    <definedName name="_xlnm.Print_Area" localSheetId="1">'Cash Flow (Indirect)'!$C$7:$J$56</definedName>
    <definedName name="_xlnm.Print_Area" localSheetId="2">'Detailed Cash Flow'!$C$7:$J$52</definedName>
    <definedName name="Scenario">Drivers!$C$6:$C$10</definedName>
    <definedName name="Status">'[1]Budget Drivers'!$F$11:$F$13</definedName>
    <definedName name="Years">'[1]Budget Drivers'!$G$51:$G$53</definedName>
    <definedName name="YesNo">'[1]Budget Drivers'!$K$15:$K$16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2" l="1"/>
  <c r="J9" i="22" s="1"/>
  <c r="O51" i="22"/>
  <c r="E29" i="22"/>
  <c r="O28" i="22"/>
  <c r="N28" i="22"/>
  <c r="M28" i="22"/>
  <c r="L28" i="22"/>
  <c r="K28" i="22"/>
  <c r="J28" i="22"/>
  <c r="I28" i="22"/>
  <c r="H28" i="22"/>
  <c r="G28" i="22"/>
  <c r="F28" i="22"/>
  <c r="E28" i="22"/>
  <c r="D28" i="22"/>
  <c r="D25" i="22"/>
  <c r="D19" i="22"/>
  <c r="D16" i="22"/>
  <c r="L12" i="22"/>
  <c r="O12" i="22"/>
  <c r="N12" i="22"/>
  <c r="M12" i="22"/>
  <c r="K12" i="22"/>
  <c r="J12" i="22"/>
  <c r="I12" i="22"/>
  <c r="I19" i="22" s="1"/>
  <c r="I23" i="22" s="1"/>
  <c r="H12" i="22"/>
  <c r="H19" i="22" s="1"/>
  <c r="H23" i="22" s="1"/>
  <c r="G12" i="22"/>
  <c r="F12" i="22"/>
  <c r="E12" i="22"/>
  <c r="D12" i="22"/>
  <c r="D34" i="16"/>
  <c r="O30" i="16"/>
  <c r="N30" i="16"/>
  <c r="M30" i="16"/>
  <c r="L30" i="16"/>
  <c r="K30" i="16"/>
  <c r="J30" i="16"/>
  <c r="I30" i="16"/>
  <c r="H30" i="16"/>
  <c r="H32" i="16" s="1"/>
  <c r="G30" i="16"/>
  <c r="F30" i="16"/>
  <c r="E30" i="16"/>
  <c r="D30" i="16"/>
  <c r="I32" i="16"/>
  <c r="O31" i="16"/>
  <c r="N31" i="16"/>
  <c r="N32" i="16" s="1"/>
  <c r="M31" i="16"/>
  <c r="M32" i="16" s="1"/>
  <c r="L31" i="16"/>
  <c r="K31" i="16"/>
  <c r="J31" i="16"/>
  <c r="J32" i="16" s="1"/>
  <c r="I31" i="16"/>
  <c r="H31" i="16"/>
  <c r="G31" i="16"/>
  <c r="F31" i="16"/>
  <c r="F32" i="16" s="1"/>
  <c r="E31" i="16"/>
  <c r="E32" i="16" s="1"/>
  <c r="D31" i="16"/>
  <c r="D32" i="16" s="1"/>
  <c r="O27" i="16"/>
  <c r="G27" i="16"/>
  <c r="O25" i="16"/>
  <c r="N25" i="16"/>
  <c r="N27" i="16" s="1"/>
  <c r="M25" i="16"/>
  <c r="M27" i="16" s="1"/>
  <c r="L25" i="16"/>
  <c r="L27" i="16" s="1"/>
  <c r="K25" i="16"/>
  <c r="K27" i="16" s="1"/>
  <c r="J25" i="16"/>
  <c r="J27" i="16" s="1"/>
  <c r="I25" i="16"/>
  <c r="I27" i="16" s="1"/>
  <c r="H25" i="16"/>
  <c r="H27" i="16" s="1"/>
  <c r="G25" i="16"/>
  <c r="F25" i="16"/>
  <c r="F27" i="16" s="1"/>
  <c r="E25" i="16"/>
  <c r="E27" i="16" s="1"/>
  <c r="D25" i="16"/>
  <c r="D27" i="16" s="1"/>
  <c r="O20" i="16"/>
  <c r="N20" i="16"/>
  <c r="M20" i="16"/>
  <c r="L20" i="16"/>
  <c r="K20" i="16"/>
  <c r="J20" i="16"/>
  <c r="I20" i="16"/>
  <c r="H20" i="16"/>
  <c r="G20" i="16"/>
  <c r="F20" i="16"/>
  <c r="E20" i="16"/>
  <c r="D20" i="16"/>
  <c r="O19" i="16"/>
  <c r="N19" i="16"/>
  <c r="M19" i="16"/>
  <c r="L19" i="16"/>
  <c r="K19" i="16"/>
  <c r="J19" i="16"/>
  <c r="I19" i="16"/>
  <c r="H19" i="16"/>
  <c r="G19" i="16"/>
  <c r="F19" i="16"/>
  <c r="E19" i="16"/>
  <c r="D19" i="16"/>
  <c r="O17" i="16"/>
  <c r="N17" i="16"/>
  <c r="M17" i="16"/>
  <c r="L17" i="16"/>
  <c r="K17" i="16"/>
  <c r="J17" i="16"/>
  <c r="I17" i="16"/>
  <c r="H17" i="16"/>
  <c r="G17" i="16"/>
  <c r="F17" i="16"/>
  <c r="O16" i="16"/>
  <c r="N16" i="16"/>
  <c r="M16" i="16"/>
  <c r="L16" i="16"/>
  <c r="K16" i="16"/>
  <c r="J16" i="16"/>
  <c r="I16" i="16"/>
  <c r="H16" i="16"/>
  <c r="G16" i="16"/>
  <c r="F16" i="16"/>
  <c r="E17" i="16"/>
  <c r="D17" i="16"/>
  <c r="E16" i="16"/>
  <c r="D16" i="16"/>
  <c r="O15" i="16"/>
  <c r="O22" i="16" s="1"/>
  <c r="N15" i="16"/>
  <c r="M15" i="16"/>
  <c r="L15" i="16"/>
  <c r="K15" i="16"/>
  <c r="J15" i="16"/>
  <c r="I15" i="16"/>
  <c r="H15" i="16"/>
  <c r="G15" i="16"/>
  <c r="G22" i="16" s="1"/>
  <c r="F15" i="16"/>
  <c r="E15" i="16"/>
  <c r="D15" i="16"/>
  <c r="O13" i="16"/>
  <c r="N13" i="16"/>
  <c r="M13" i="16"/>
  <c r="M22" i="16" s="1"/>
  <c r="L13" i="16"/>
  <c r="L22" i="16" s="1"/>
  <c r="K13" i="16"/>
  <c r="J13" i="16"/>
  <c r="I13" i="16"/>
  <c r="H13" i="16"/>
  <c r="H22" i="16" s="1"/>
  <c r="H35" i="16" s="1"/>
  <c r="G13" i="16"/>
  <c r="F13" i="16"/>
  <c r="E13" i="16"/>
  <c r="D13" i="16"/>
  <c r="O47" i="22"/>
  <c r="N47" i="22"/>
  <c r="M47" i="22"/>
  <c r="L47" i="22"/>
  <c r="K47" i="22"/>
  <c r="J47" i="22"/>
  <c r="I47" i="22"/>
  <c r="H47" i="22"/>
  <c r="G47" i="22"/>
  <c r="F47" i="22"/>
  <c r="E47" i="22"/>
  <c r="D47" i="22"/>
  <c r="M39" i="22"/>
  <c r="N36" i="22"/>
  <c r="J36" i="22"/>
  <c r="E36" i="22"/>
  <c r="O33" i="22"/>
  <c r="N33" i="22"/>
  <c r="M33" i="22"/>
  <c r="L33" i="22"/>
  <c r="K33" i="22"/>
  <c r="J33" i="22"/>
  <c r="I33" i="22"/>
  <c r="H33" i="22"/>
  <c r="G33" i="22"/>
  <c r="F33" i="22"/>
  <c r="E33" i="22"/>
  <c r="D33" i="22"/>
  <c r="D40" i="22" s="1"/>
  <c r="F32" i="22"/>
  <c r="E31" i="22"/>
  <c r="F31" i="22" s="1"/>
  <c r="G31" i="22" s="1"/>
  <c r="H31" i="22" s="1"/>
  <c r="K19" i="22"/>
  <c r="K23" i="22" s="1"/>
  <c r="E19" i="22"/>
  <c r="E23" i="22" s="1"/>
  <c r="J19" i="22"/>
  <c r="J23" i="22" s="1"/>
  <c r="G19" i="22"/>
  <c r="G23" i="22" s="1"/>
  <c r="K9" i="22"/>
  <c r="F9" i="22"/>
  <c r="D9" i="22"/>
  <c r="O9" i="16"/>
  <c r="N9" i="16"/>
  <c r="M9" i="16"/>
  <c r="L9" i="16"/>
  <c r="K9" i="16"/>
  <c r="J9" i="16"/>
  <c r="I9" i="16"/>
  <c r="H9" i="16"/>
  <c r="G9" i="16"/>
  <c r="F9" i="16"/>
  <c r="E9" i="16"/>
  <c r="D9" i="16"/>
  <c r="R14" i="17"/>
  <c r="R42" i="17"/>
  <c r="D6" i="17"/>
  <c r="D5" i="17"/>
  <c r="D4" i="17"/>
  <c r="D3" i="17"/>
  <c r="D6" i="3"/>
  <c r="D5" i="3"/>
  <c r="D4" i="3"/>
  <c r="D3" i="3"/>
  <c r="G9" i="22" l="1"/>
  <c r="M9" i="22"/>
  <c r="E9" i="22"/>
  <c r="L9" i="22"/>
  <c r="N9" i="22"/>
  <c r="O9" i="22"/>
  <c r="H9" i="22"/>
  <c r="I9" i="22"/>
  <c r="D23" i="22"/>
  <c r="L19" i="22"/>
  <c r="L23" i="22" s="1"/>
  <c r="E40" i="22"/>
  <c r="E49" i="22" s="1"/>
  <c r="G40" i="22"/>
  <c r="G49" i="22" s="1"/>
  <c r="O35" i="16"/>
  <c r="M35" i="16"/>
  <c r="K32" i="16"/>
  <c r="L32" i="16"/>
  <c r="L35" i="16" s="1"/>
  <c r="G32" i="16"/>
  <c r="G35" i="16" s="1"/>
  <c r="O32" i="16"/>
  <c r="K22" i="16"/>
  <c r="F22" i="16"/>
  <c r="F35" i="16" s="1"/>
  <c r="E22" i="16"/>
  <c r="E35" i="16" s="1"/>
  <c r="I22" i="16"/>
  <c r="I35" i="16" s="1"/>
  <c r="D22" i="16"/>
  <c r="D35" i="16" s="1"/>
  <c r="D36" i="16" s="1"/>
  <c r="N22" i="16"/>
  <c r="N35" i="16" s="1"/>
  <c r="J22" i="16"/>
  <c r="J35" i="16" s="1"/>
  <c r="H40" i="22"/>
  <c r="H49" i="22" s="1"/>
  <c r="I31" i="22"/>
  <c r="J31" i="22" s="1"/>
  <c r="K31" i="22" s="1"/>
  <c r="L31" i="22" s="1"/>
  <c r="D49" i="22"/>
  <c r="D51" i="22" s="1"/>
  <c r="I40" i="22"/>
  <c r="I49" i="22" s="1"/>
  <c r="F40" i="22"/>
  <c r="F49" i="22" s="1"/>
  <c r="F19" i="22"/>
  <c r="F23" i="22" s="1"/>
  <c r="J40" i="22" l="1"/>
  <c r="J49" i="22" s="1"/>
  <c r="K40" i="22"/>
  <c r="K49" i="22" s="1"/>
  <c r="F13" i="17"/>
  <c r="E34" i="16"/>
  <c r="E36" i="16" s="1"/>
  <c r="K35" i="16"/>
  <c r="D52" i="22"/>
  <c r="E16" i="22"/>
  <c r="M19" i="22"/>
  <c r="M23" i="22" s="1"/>
  <c r="L40" i="22"/>
  <c r="L49" i="22" s="1"/>
  <c r="M31" i="22"/>
  <c r="F34" i="16" l="1"/>
  <c r="F36" i="16" s="1"/>
  <c r="G13" i="17"/>
  <c r="N31" i="22"/>
  <c r="M40" i="22"/>
  <c r="M49" i="22" s="1"/>
  <c r="O19" i="22"/>
  <c r="O23" i="22" s="1"/>
  <c r="N19" i="22"/>
  <c r="N23" i="22" s="1"/>
  <c r="E25" i="22"/>
  <c r="E51" i="22"/>
  <c r="G34" i="16" l="1"/>
  <c r="G36" i="16" s="1"/>
  <c r="H13" i="17"/>
  <c r="E52" i="22"/>
  <c r="F16" i="22"/>
  <c r="O31" i="22"/>
  <c r="O40" i="22" s="1"/>
  <c r="O49" i="22" s="1"/>
  <c r="N40" i="22"/>
  <c r="N49" i="22" s="1"/>
  <c r="H34" i="16" l="1"/>
  <c r="H36" i="16" s="1"/>
  <c r="I13" i="17"/>
  <c r="F51" i="22"/>
  <c r="F25" i="22"/>
  <c r="I34" i="16" l="1"/>
  <c r="I36" i="16" s="1"/>
  <c r="J13" i="17"/>
  <c r="F52" i="22"/>
  <c r="G16" i="22"/>
  <c r="J34" i="16" l="1"/>
  <c r="J36" i="16" s="1"/>
  <c r="K13" i="17"/>
  <c r="G51" i="22"/>
  <c r="G25" i="22"/>
  <c r="K34" i="16" l="1"/>
  <c r="K36" i="16" s="1"/>
  <c r="L13" i="17"/>
  <c r="G52" i="22"/>
  <c r="H16" i="22"/>
  <c r="L34" i="16" l="1"/>
  <c r="L36" i="16" s="1"/>
  <c r="M13" i="17"/>
  <c r="H51" i="22"/>
  <c r="H25" i="22"/>
  <c r="M34" i="16" l="1"/>
  <c r="M36" i="16" s="1"/>
  <c r="N13" i="17"/>
  <c r="I16" i="22"/>
  <c r="H52" i="22"/>
  <c r="N34" i="16" l="1"/>
  <c r="N36" i="16" s="1"/>
  <c r="O13" i="17"/>
  <c r="I51" i="22"/>
  <c r="I25" i="22"/>
  <c r="O34" i="16" l="1"/>
  <c r="O36" i="16" s="1"/>
  <c r="Q13" i="17" s="1"/>
  <c r="P13" i="17"/>
  <c r="I52" i="22"/>
  <c r="J16" i="22"/>
  <c r="J51" i="22" l="1"/>
  <c r="J25" i="22"/>
  <c r="J52" i="22" l="1"/>
  <c r="K16" i="22"/>
  <c r="K51" i="22" l="1"/>
  <c r="K25" i="22"/>
  <c r="K52" i="22" l="1"/>
  <c r="L16" i="22"/>
  <c r="L25" i="22" l="1"/>
  <c r="L51" i="22"/>
  <c r="F72" i="3"/>
  <c r="F73" i="3" s="1"/>
  <c r="R74" i="3"/>
  <c r="Q74" i="3"/>
  <c r="P74" i="3"/>
  <c r="O74" i="3"/>
  <c r="N74" i="3"/>
  <c r="M74" i="3"/>
  <c r="L74" i="3"/>
  <c r="K74" i="3"/>
  <c r="J74" i="3"/>
  <c r="I74" i="3"/>
  <c r="H74" i="3"/>
  <c r="G74" i="3"/>
  <c r="D74" i="3"/>
  <c r="R73" i="3"/>
  <c r="Q73" i="3"/>
  <c r="P73" i="3"/>
  <c r="O73" i="3"/>
  <c r="N73" i="3"/>
  <c r="M73" i="3"/>
  <c r="L73" i="3"/>
  <c r="K73" i="3"/>
  <c r="J73" i="3"/>
  <c r="I73" i="3"/>
  <c r="H73" i="3"/>
  <c r="G73" i="3"/>
  <c r="D73" i="3"/>
  <c r="S66" i="3"/>
  <c r="S71" i="3"/>
  <c r="S70" i="3"/>
  <c r="S69" i="3"/>
  <c r="S68" i="3"/>
  <c r="R72" i="3"/>
  <c r="Q72" i="3"/>
  <c r="P72" i="3"/>
  <c r="O72" i="3"/>
  <c r="N72" i="3"/>
  <c r="M72" i="3"/>
  <c r="L72" i="3"/>
  <c r="K72" i="3"/>
  <c r="J72" i="3"/>
  <c r="I72" i="3"/>
  <c r="S72" i="3" s="1"/>
  <c r="H72" i="3"/>
  <c r="G72" i="3"/>
  <c r="D72" i="3"/>
  <c r="L69" i="3"/>
  <c r="R69" i="3" s="1"/>
  <c r="R71" i="3"/>
  <c r="R70" i="3"/>
  <c r="R68" i="3"/>
  <c r="Q63" i="3"/>
  <c r="P63" i="3"/>
  <c r="O63" i="3"/>
  <c r="N63" i="3"/>
  <c r="M63" i="3"/>
  <c r="L63" i="3"/>
  <c r="K63" i="3"/>
  <c r="J63" i="3"/>
  <c r="I63" i="3"/>
  <c r="H63" i="3"/>
  <c r="G63" i="3"/>
  <c r="F63" i="3"/>
  <c r="D63" i="3"/>
  <c r="R54" i="3"/>
  <c r="S54" i="3" s="1"/>
  <c r="K56" i="3"/>
  <c r="K64" i="3" s="1"/>
  <c r="J56" i="3"/>
  <c r="J64" i="3" s="1"/>
  <c r="H56" i="3"/>
  <c r="D56" i="3"/>
  <c r="L56" i="3"/>
  <c r="F23" i="3"/>
  <c r="F17" i="3"/>
  <c r="D23" i="3"/>
  <c r="L52" i="22" l="1"/>
  <c r="M16" i="22"/>
  <c r="S73" i="3"/>
  <c r="F74" i="3"/>
  <c r="D64" i="3"/>
  <c r="L64" i="3"/>
  <c r="H64" i="3"/>
  <c r="R53" i="3"/>
  <c r="S53" i="3" s="1"/>
  <c r="R52" i="3"/>
  <c r="S52" i="3" s="1"/>
  <c r="R49" i="3"/>
  <c r="S49" i="3" s="1"/>
  <c r="R42" i="3"/>
  <c r="S42" i="3" s="1"/>
  <c r="R44" i="3"/>
  <c r="S44" i="3" s="1"/>
  <c r="R37" i="3"/>
  <c r="S37" i="3" s="1"/>
  <c r="R36" i="3"/>
  <c r="S36" i="3" s="1"/>
  <c r="M56" i="3"/>
  <c r="M64" i="3" s="1"/>
  <c r="R46" i="3"/>
  <c r="S46" i="3" s="1"/>
  <c r="R35" i="3"/>
  <c r="S35" i="3" s="1"/>
  <c r="R50" i="3"/>
  <c r="S50" i="3" s="1"/>
  <c r="R51" i="3"/>
  <c r="S51" i="3" s="1"/>
  <c r="R43" i="3"/>
  <c r="S43" i="3" s="1"/>
  <c r="R34" i="3"/>
  <c r="S34" i="3" s="1"/>
  <c r="R55" i="3"/>
  <c r="S55" i="3" s="1"/>
  <c r="R47" i="3"/>
  <c r="S47" i="3" s="1"/>
  <c r="R39" i="3"/>
  <c r="S39" i="3" s="1"/>
  <c r="R38" i="3"/>
  <c r="S38" i="3" s="1"/>
  <c r="I56" i="3"/>
  <c r="I64" i="3" s="1"/>
  <c r="R40" i="3"/>
  <c r="S40" i="3" s="1"/>
  <c r="R48" i="3"/>
  <c r="S48" i="3" s="1"/>
  <c r="R32" i="3"/>
  <c r="S32" i="3" s="1"/>
  <c r="G56" i="3"/>
  <c r="G64" i="3" s="1"/>
  <c r="F56" i="3"/>
  <c r="F64" i="3" s="1"/>
  <c r="F25" i="3"/>
  <c r="F26" i="3" s="1"/>
  <c r="M25" i="22" l="1"/>
  <c r="M51" i="22"/>
  <c r="F66" i="3"/>
  <c r="N56" i="3"/>
  <c r="N64" i="3" s="1"/>
  <c r="R41" i="3"/>
  <c r="S41" i="3" s="1"/>
  <c r="R33" i="3"/>
  <c r="S33" i="3" s="1"/>
  <c r="R45" i="3"/>
  <c r="S45" i="3" s="1"/>
  <c r="M52" i="22" l="1"/>
  <c r="N16" i="22"/>
  <c r="O56" i="3"/>
  <c r="O64" i="3" s="1"/>
  <c r="N51" i="22" l="1"/>
  <c r="N25" i="22"/>
  <c r="P56" i="3"/>
  <c r="P64" i="3" s="1"/>
  <c r="Q56" i="3"/>
  <c r="Q64" i="3" s="1"/>
  <c r="N52" i="22" l="1"/>
  <c r="O16" i="22"/>
  <c r="R22" i="3"/>
  <c r="S22" i="3" s="1"/>
  <c r="R21" i="3"/>
  <c r="S21" i="3" s="1"/>
  <c r="R15" i="3"/>
  <c r="S15" i="3" s="1"/>
  <c r="Q23" i="3"/>
  <c r="P23" i="3"/>
  <c r="O23" i="3"/>
  <c r="N23" i="3"/>
  <c r="M23" i="3"/>
  <c r="L23" i="3"/>
  <c r="K23" i="3"/>
  <c r="J23" i="3"/>
  <c r="I23" i="3"/>
  <c r="H23" i="3"/>
  <c r="G23" i="3"/>
  <c r="Q17" i="3"/>
  <c r="P17" i="3"/>
  <c r="O17" i="3"/>
  <c r="N17" i="3"/>
  <c r="M17" i="3"/>
  <c r="L17" i="3"/>
  <c r="K17" i="3"/>
  <c r="J17" i="3"/>
  <c r="I17" i="3"/>
  <c r="H17" i="3"/>
  <c r="G17" i="3"/>
  <c r="D17" i="3"/>
  <c r="D25" i="3" s="1"/>
  <c r="O52" i="22" l="1"/>
  <c r="O25" i="22"/>
  <c r="D26" i="3"/>
  <c r="D66" i="3"/>
  <c r="M25" i="3"/>
  <c r="L25" i="3"/>
  <c r="G25" i="3"/>
  <c r="P25" i="3"/>
  <c r="Q25" i="3"/>
  <c r="H25" i="3"/>
  <c r="I25" i="3"/>
  <c r="J25" i="3"/>
  <c r="K25" i="3"/>
  <c r="N25" i="3"/>
  <c r="O25" i="3"/>
  <c r="J9" i="3"/>
  <c r="I9" i="3"/>
  <c r="H9" i="3"/>
  <c r="G9" i="3"/>
  <c r="F9" i="3"/>
  <c r="G37" i="17"/>
  <c r="R35" i="17"/>
  <c r="R28" i="17"/>
  <c r="K46" i="17"/>
  <c r="D46" i="17"/>
  <c r="J18" i="17"/>
  <c r="J23" i="17" s="1"/>
  <c r="J24" i="17" s="1"/>
  <c r="R17" i="17"/>
  <c r="G18" i="17"/>
  <c r="G23" i="17" s="1"/>
  <c r="G24" i="17" s="1"/>
  <c r="R16" i="17"/>
  <c r="R15" i="17"/>
  <c r="F18" i="17"/>
  <c r="F23" i="17" s="1"/>
  <c r="F24" i="17" s="1"/>
  <c r="D44" i="17"/>
  <c r="Q44" i="17"/>
  <c r="Q46" i="17" s="1"/>
  <c r="P44" i="17"/>
  <c r="P46" i="17" s="1"/>
  <c r="O44" i="17"/>
  <c r="O46" i="17" s="1"/>
  <c r="N44" i="17"/>
  <c r="N46" i="17" s="1"/>
  <c r="M44" i="17"/>
  <c r="M46" i="17" s="1"/>
  <c r="L44" i="17"/>
  <c r="L46" i="17" s="1"/>
  <c r="K44" i="17"/>
  <c r="J44" i="17"/>
  <c r="J46" i="17" s="1"/>
  <c r="I44" i="17"/>
  <c r="I46" i="17" s="1"/>
  <c r="H44" i="17"/>
  <c r="H46" i="17" s="1"/>
  <c r="G44" i="17"/>
  <c r="G46" i="17" s="1"/>
  <c r="F44" i="17"/>
  <c r="F46" i="17" s="1"/>
  <c r="H18" i="17"/>
  <c r="H23" i="17" s="1"/>
  <c r="H24" i="17" s="1"/>
  <c r="D34" i="17"/>
  <c r="D38" i="17" s="1"/>
  <c r="D39" i="17" s="1"/>
  <c r="D18" i="17"/>
  <c r="D23" i="17" s="1"/>
  <c r="D24" i="17" s="1"/>
  <c r="R32" i="17"/>
  <c r="R36" i="17"/>
  <c r="R37" i="17"/>
  <c r="R30" i="17"/>
  <c r="R29" i="17"/>
  <c r="R41" i="17"/>
  <c r="R44" i="17" s="1"/>
  <c r="R46" i="17" s="1"/>
  <c r="R43" i="17"/>
  <c r="R33" i="17"/>
  <c r="R31" i="17"/>
  <c r="R22" i="17"/>
  <c r="R21" i="17"/>
  <c r="R20" i="17"/>
  <c r="R9" i="17"/>
  <c r="Q9" i="17"/>
  <c r="P9" i="17"/>
  <c r="O9" i="17"/>
  <c r="N9" i="17"/>
  <c r="M9" i="17"/>
  <c r="L9" i="17"/>
  <c r="K9" i="17"/>
  <c r="J9" i="17"/>
  <c r="I9" i="17"/>
  <c r="H9" i="17"/>
  <c r="G9" i="17"/>
  <c r="F9" i="17"/>
  <c r="O26" i="3" l="1"/>
  <c r="O66" i="3"/>
  <c r="P26" i="3"/>
  <c r="P66" i="3"/>
  <c r="N26" i="3"/>
  <c r="N66" i="3"/>
  <c r="L26" i="3"/>
  <c r="L66" i="3"/>
  <c r="K26" i="3"/>
  <c r="K66" i="3"/>
  <c r="M26" i="3"/>
  <c r="M66" i="3"/>
  <c r="Q26" i="3"/>
  <c r="Q66" i="3"/>
  <c r="J26" i="3"/>
  <c r="J66" i="3"/>
  <c r="I26" i="3"/>
  <c r="I66" i="3"/>
  <c r="H26" i="3"/>
  <c r="H66" i="3"/>
  <c r="G26" i="3"/>
  <c r="G66" i="3"/>
  <c r="H34" i="17"/>
  <c r="H38" i="17" s="1"/>
  <c r="H39" i="17" s="1"/>
  <c r="G34" i="17"/>
  <c r="G38" i="17" s="1"/>
  <c r="G39" i="17" s="1"/>
  <c r="F34" i="17"/>
  <c r="F38" i="17" s="1"/>
  <c r="F39" i="17" s="1"/>
  <c r="I34" i="17"/>
  <c r="I38" i="17" s="1"/>
  <c r="I39" i="17" s="1"/>
  <c r="P18" i="17"/>
  <c r="P23" i="17" s="1"/>
  <c r="P24" i="17" s="1"/>
  <c r="I18" i="17"/>
  <c r="I23" i="17" s="1"/>
  <c r="I24" i="17" s="1"/>
  <c r="D45" i="17"/>
  <c r="D48" i="17" s="1"/>
  <c r="K18" i="17"/>
  <c r="K23" i="17" s="1"/>
  <c r="K24" i="17" s="1"/>
  <c r="G45" i="17" l="1"/>
  <c r="G48" i="17" s="1"/>
  <c r="F45" i="17"/>
  <c r="F48" i="17" s="1"/>
  <c r="H45" i="17"/>
  <c r="H48" i="17" s="1"/>
  <c r="I45" i="17"/>
  <c r="I48" i="17" s="1"/>
  <c r="J34" i="17"/>
  <c r="J38" i="17" s="1"/>
  <c r="R13" i="17"/>
  <c r="R18" i="17" s="1"/>
  <c r="R23" i="17" s="1"/>
  <c r="R24" i="17" s="1"/>
  <c r="Q18" i="17"/>
  <c r="Q23" i="17" s="1"/>
  <c r="Q24" i="17" s="1"/>
  <c r="L18" i="17"/>
  <c r="L23" i="17" s="1"/>
  <c r="L24" i="17" s="1"/>
  <c r="K34" i="17" l="1"/>
  <c r="K38" i="17" s="1"/>
  <c r="J39" i="17"/>
  <c r="J45" i="17"/>
  <c r="J48" i="17" s="1"/>
  <c r="M18" i="17"/>
  <c r="M23" i="17" s="1"/>
  <c r="M24" i="17" s="1"/>
  <c r="L34" i="17" l="1"/>
  <c r="L38" i="17" s="1"/>
  <c r="K39" i="17"/>
  <c r="K45" i="17"/>
  <c r="K48" i="17" s="1"/>
  <c r="O18" i="17"/>
  <c r="O23" i="17" s="1"/>
  <c r="O24" i="17" s="1"/>
  <c r="N18" i="17"/>
  <c r="N23" i="17" s="1"/>
  <c r="N24" i="17" s="1"/>
  <c r="M34" i="17" l="1"/>
  <c r="M38" i="17" s="1"/>
  <c r="L39" i="17"/>
  <c r="L45" i="17"/>
  <c r="L48" i="17" s="1"/>
  <c r="M39" i="17" l="1"/>
  <c r="M45" i="17"/>
  <c r="M48" i="17" s="1"/>
  <c r="N34" i="17"/>
  <c r="N38" i="17" s="1"/>
  <c r="O34" i="17" l="1"/>
  <c r="O38" i="17" s="1"/>
  <c r="N39" i="17"/>
  <c r="N45" i="17"/>
  <c r="N48" i="17" s="1"/>
  <c r="O45" i="17" l="1"/>
  <c r="O48" i="17" s="1"/>
  <c r="O39" i="17"/>
  <c r="P34" i="17"/>
  <c r="P38" i="17" s="1"/>
  <c r="P45" i="17" l="1"/>
  <c r="P48" i="17" s="1"/>
  <c r="P39" i="17"/>
  <c r="Q34" i="17"/>
  <c r="Q38" i="17" s="1"/>
  <c r="R27" i="17"/>
  <c r="R34" i="17" s="1"/>
  <c r="R38" i="17" s="1"/>
  <c r="R39" i="17" l="1"/>
  <c r="R45" i="17"/>
  <c r="R48" i="17" s="1"/>
  <c r="Q39" i="17"/>
  <c r="Q45" i="17"/>
  <c r="Q48" i="17" s="1"/>
  <c r="K9" i="3" l="1"/>
  <c r="R62" i="3" l="1"/>
  <c r="S62" i="3" s="1"/>
  <c r="R61" i="3"/>
  <c r="S61" i="3" s="1"/>
  <c r="R60" i="3"/>
  <c r="R59" i="3"/>
  <c r="S59" i="3" s="1"/>
  <c r="R58" i="3"/>
  <c r="S58" i="3" s="1"/>
  <c r="R57" i="3"/>
  <c r="S57" i="3" s="1"/>
  <c r="R31" i="3"/>
  <c r="S31" i="3" s="1"/>
  <c r="R30" i="3"/>
  <c r="S30" i="3" s="1"/>
  <c r="R29" i="3"/>
  <c r="R20" i="3"/>
  <c r="R16" i="3"/>
  <c r="S16" i="3" s="1"/>
  <c r="R14" i="3"/>
  <c r="S14" i="3" s="1"/>
  <c r="R13" i="3"/>
  <c r="S13" i="3" s="1"/>
  <c r="R12" i="3"/>
  <c r="S12" i="3" s="1"/>
  <c r="S60" i="3" l="1"/>
  <c r="R63" i="3"/>
  <c r="S63" i="3" s="1"/>
  <c r="R56" i="3"/>
  <c r="R64" i="3" s="1"/>
  <c r="R23" i="3"/>
  <c r="S23" i="3" s="1"/>
  <c r="S20" i="3"/>
  <c r="S29" i="3"/>
  <c r="R17" i="3"/>
  <c r="S64" i="3" l="1"/>
  <c r="S56" i="3"/>
  <c r="R25" i="3"/>
  <c r="R66" i="3" s="1"/>
  <c r="S17" i="3"/>
  <c r="R26" i="3" l="1"/>
  <c r="S25" i="3"/>
  <c r="L9" i="3" l="1"/>
  <c r="M9" i="3"/>
  <c r="N9" i="3"/>
  <c r="O9" i="3"/>
  <c r="P9" i="3"/>
  <c r="Q9" i="3"/>
  <c r="R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tc={5BA6C855-744F-4B6A-A171-E5A116B14D51}</author>
  </authors>
  <commentList>
    <comment ref="C8" authorId="0" shapeId="0" xr:uid="{5BA6C855-744F-4B6A-A171-E5A116B14D51}">
      <text>
        <t>[Threaded comment]
Your version of Excel allows you to read this threaded comment; however, any edits to it will get removed if the file is opened in a newer version of Excel. Learn more: https://go.microsoft.com/fwlink/?linkid=870924
Comment:
    Cube's cloud-based data engine will allow you to take this report and automate the population of its values. Cube connects to your organization's GL, and pulls in the current balances/activity for each account, aggregates and consolidates the values, and calculates ratios, formulas and KPI's for you. This will take the time spent maintaining this report from hours down to seconds.</t>
      </text>
    </comment>
  </commentList>
</comments>
</file>

<file path=xl/sharedStrings.xml><?xml version="1.0" encoding="utf-8"?>
<sst xmlns="http://schemas.openxmlformats.org/spreadsheetml/2006/main" count="240" uniqueCount="200">
  <si>
    <t>Expected Billings</t>
  </si>
  <si>
    <t>% collections</t>
  </si>
  <si>
    <t>Beginning Cash Balance</t>
  </si>
  <si>
    <t>Cash Inflows (Income):</t>
  </si>
  <si>
    <t>Available Cash Balance</t>
  </si>
  <si>
    <t>Cash Outflows (Expenses):</t>
  </si>
  <si>
    <t>Bi-Weekly Payroll</t>
  </si>
  <si>
    <t>Annual Bonus</t>
  </si>
  <si>
    <t>Quarterly Bonus</t>
  </si>
  <si>
    <t>Monthly Commission + Bridge</t>
  </si>
  <si>
    <t>401k Contribution</t>
  </si>
  <si>
    <t>Health Benefits</t>
  </si>
  <si>
    <t>Rent</t>
  </si>
  <si>
    <t>Large Carriers - AT&amp;T</t>
  </si>
  <si>
    <t>Large Carriers - Century Link</t>
  </si>
  <si>
    <t>Total Cash Inflows (Income)</t>
  </si>
  <si>
    <t>Equipment Loan - Principal</t>
  </si>
  <si>
    <t>Equipment Loan - Interest</t>
  </si>
  <si>
    <t>Ending Cash Balance</t>
  </si>
  <si>
    <t>Actuals</t>
  </si>
  <si>
    <t>Total Cash Outflows</t>
  </si>
  <si>
    <t>Capital Expenditures</t>
  </si>
  <si>
    <t>Forecast Q3</t>
  </si>
  <si>
    <t>Budget</t>
  </si>
  <si>
    <t>Proposed Budget</t>
  </si>
  <si>
    <t>Scenario</t>
  </si>
  <si>
    <t>Jan-22</t>
  </si>
  <si>
    <t>Feb-22</t>
  </si>
  <si>
    <t>Mar-22</t>
  </si>
  <si>
    <t>Apr-22</t>
  </si>
  <si>
    <t>May-22</t>
  </si>
  <si>
    <t>Jun-22</t>
  </si>
  <si>
    <t>Jul-22</t>
  </si>
  <si>
    <t>Aug-22</t>
  </si>
  <si>
    <t>Sep-22</t>
  </si>
  <si>
    <t>Oct-22</t>
  </si>
  <si>
    <t>Nov-22</t>
  </si>
  <si>
    <t>Dec-22</t>
  </si>
  <si>
    <t>% on time</t>
  </si>
  <si>
    <t>Regulatory Escrow Payment</t>
  </si>
  <si>
    <t>Tax Escrow Payment</t>
  </si>
  <si>
    <t>All Other Payables</t>
  </si>
  <si>
    <t>Other Cash Outflow</t>
  </si>
  <si>
    <t>Budget v2</t>
  </si>
  <si>
    <t>Budget v3</t>
  </si>
  <si>
    <t>Forecast Q2</t>
  </si>
  <si>
    <t>Forecast 6+6</t>
  </si>
  <si>
    <t>A/R Collections</t>
  </si>
  <si>
    <t>Loan Proceeds</t>
  </si>
  <si>
    <t>Line of Credit Proceeds</t>
  </si>
  <si>
    <t>Misc. Income</t>
  </si>
  <si>
    <t>Other Cash Outflows</t>
  </si>
  <si>
    <t>Cash Outflows (Expense)</t>
  </si>
  <si>
    <t>Scenarios</t>
  </si>
  <si>
    <t>Balance Sheet</t>
  </si>
  <si>
    <t xml:space="preserve">    Balance Sheet Check</t>
  </si>
  <si>
    <t>Model Components (aka spreadsheet tabs)</t>
  </si>
  <si>
    <t>Model Legend</t>
  </si>
  <si>
    <t>Inputs</t>
  </si>
  <si>
    <t>ABC</t>
  </si>
  <si>
    <t>Calculations</t>
  </si>
  <si>
    <t>These cells are formulas that produce model data, and are used in outputs. Don't modify the formulas in these cells.</t>
  </si>
  <si>
    <t>Outputs</t>
  </si>
  <si>
    <t>Income Statement</t>
  </si>
  <si>
    <t>Company Name</t>
  </si>
  <si>
    <t>Input</t>
  </si>
  <si>
    <t>Scenario Name</t>
  </si>
  <si>
    <t>How to use this template:</t>
  </si>
  <si>
    <t>2nd Tab</t>
  </si>
  <si>
    <t>3rd Tab</t>
  </si>
  <si>
    <t>4th Tab</t>
  </si>
  <si>
    <t>These cells are where you'll input/update data (input roster file and new hire assumptions)</t>
  </si>
  <si>
    <t>These cells remain black, and are linked to the inputs and sub-calculations. The formulas in these cells should remain unchanged.</t>
  </si>
  <si>
    <t>Product</t>
  </si>
  <si>
    <t>Cash &amp; Equivalents</t>
  </si>
  <si>
    <t>Inventory</t>
  </si>
  <si>
    <t>Accounts Payable</t>
  </si>
  <si>
    <t>Accrued Liabilities</t>
  </si>
  <si>
    <t>Short Term Loan</t>
  </si>
  <si>
    <t>Current Assets</t>
  </si>
  <si>
    <t>Fixed Assets</t>
  </si>
  <si>
    <t>Accumulated Depreciation</t>
  </si>
  <si>
    <t>Current Liabilities</t>
  </si>
  <si>
    <t>Retained Earnings</t>
  </si>
  <si>
    <t>Cumulative Translation Adjustment</t>
  </si>
  <si>
    <t>Total Assets</t>
  </si>
  <si>
    <t>Other Assets</t>
  </si>
  <si>
    <t xml:space="preserve"> Total Liabilities</t>
  </si>
  <si>
    <t>Assets</t>
  </si>
  <si>
    <t>Liabilities</t>
  </si>
  <si>
    <t>Stockholders Equity</t>
  </si>
  <si>
    <t>Accounts Receivable - net</t>
  </si>
  <si>
    <t>Other Receivables</t>
  </si>
  <si>
    <t>Prepaid Expenses</t>
  </si>
  <si>
    <t>Total Current Assets</t>
  </si>
  <si>
    <t>Goodwill</t>
  </si>
  <si>
    <t>Total Current Liabilities</t>
  </si>
  <si>
    <t>Accrued Compensation</t>
  </si>
  <si>
    <t>Deferred Revenue</t>
  </si>
  <si>
    <t>Income Taxes Payable</t>
  </si>
  <si>
    <t>Common Stock</t>
  </si>
  <si>
    <t>Notes Payable</t>
  </si>
  <si>
    <t>Deferred Income Taxes</t>
  </si>
  <si>
    <t>Other Long-term Liabilities</t>
  </si>
  <si>
    <t xml:space="preserve"> Total Stockholder's Equity</t>
  </si>
  <si>
    <t>Model Drivers</t>
  </si>
  <si>
    <t>Other Current Liabilities</t>
  </si>
  <si>
    <t>Total Liabilities &amp; Stockholders Equity</t>
  </si>
  <si>
    <t>Division/Location/OpCo</t>
  </si>
  <si>
    <t>EBITDA</t>
  </si>
  <si>
    <t>Depreciation and Amortization</t>
  </si>
  <si>
    <t>Taxes</t>
  </si>
  <si>
    <t>Other Income/Loss</t>
  </si>
  <si>
    <t>EBITDA Adjustments</t>
  </si>
  <si>
    <t>Net Income / (Loss)</t>
  </si>
  <si>
    <t>Revenue</t>
  </si>
  <si>
    <t>Platform Revenue</t>
  </si>
  <si>
    <t>Support Revenue</t>
  </si>
  <si>
    <t>Implementation Revenue</t>
  </si>
  <si>
    <t>Intercompany Revenue</t>
  </si>
  <si>
    <t>Discount</t>
  </si>
  <si>
    <t>Platform CoGS</t>
  </si>
  <si>
    <t>Support &amp; Services CoGS</t>
  </si>
  <si>
    <t>Intercompany CoGS</t>
  </si>
  <si>
    <t>Gross Margin</t>
  </si>
  <si>
    <t>Cost of Goods Sold</t>
  </si>
  <si>
    <t>Total Revenue</t>
  </si>
  <si>
    <t>Gross Margin %</t>
  </si>
  <si>
    <t>Total Cost of Goods Sold</t>
  </si>
  <si>
    <t>Total Operating Expenses</t>
  </si>
  <si>
    <t>Expenses</t>
  </si>
  <si>
    <t>Insurance</t>
  </si>
  <si>
    <t>Rent or Lease</t>
  </si>
  <si>
    <t>Property Taxes</t>
  </si>
  <si>
    <t>Repairs and Maintenance</t>
  </si>
  <si>
    <t>Furniture &amp; Fixtures</t>
  </si>
  <si>
    <t>Utilities</t>
  </si>
  <si>
    <t xml:space="preserve">Internet &amp; Communications </t>
  </si>
  <si>
    <t>Infrastructure Services</t>
  </si>
  <si>
    <t>Software</t>
  </si>
  <si>
    <t>Bank Service Charges</t>
  </si>
  <si>
    <t>Business Licenses and Permits</t>
  </si>
  <si>
    <t>Conferences, Dues, and Subscriptions</t>
  </si>
  <si>
    <t>Supplies</t>
  </si>
  <si>
    <t>Gifts</t>
  </si>
  <si>
    <t>Printing , Postage and Delivery</t>
  </si>
  <si>
    <t>Miscellaneous</t>
  </si>
  <si>
    <t>Recruiting Expense</t>
  </si>
  <si>
    <t>Employee Travel and Meals</t>
  </si>
  <si>
    <t>Equipment Rental</t>
  </si>
  <si>
    <t>Other Tech Expense</t>
  </si>
  <si>
    <t>Professional Services</t>
  </si>
  <si>
    <t>Accounting Fees</t>
  </si>
  <si>
    <t>Legal Fees</t>
  </si>
  <si>
    <t>Consultant Fees</t>
  </si>
  <si>
    <t>Other Professional Services</t>
  </si>
  <si>
    <t xml:space="preserve">Marketing </t>
  </si>
  <si>
    <t>Public Relations</t>
  </si>
  <si>
    <t>Total General &amp; Administrative Expense</t>
  </si>
  <si>
    <t>Total Salaries</t>
  </si>
  <si>
    <t>Total Benefits</t>
  </si>
  <si>
    <t>Total Payroll Taxes</t>
  </si>
  <si>
    <t>Payroll Processing Fees</t>
  </si>
  <si>
    <t>Bonuses</t>
  </si>
  <si>
    <t>Commissions</t>
  </si>
  <si>
    <t>Total Salaries &amp; Commissions</t>
  </si>
  <si>
    <t>Total Interest, Depreciation &amp; Amortization</t>
  </si>
  <si>
    <t>Rolling Forecast</t>
  </si>
  <si>
    <t>Cash Flow (Indirect)</t>
  </si>
  <si>
    <t>Statement of Cash Flow (Indirect)</t>
  </si>
  <si>
    <t>Cash Flow from Operating Activities:</t>
  </si>
  <si>
    <t>Change in Current Assets</t>
  </si>
  <si>
    <t>Change in Current Liabilities</t>
  </si>
  <si>
    <t>Non-Cash Expenses</t>
  </si>
  <si>
    <t>Net Change in Fixed Assets</t>
  </si>
  <si>
    <t>Payments Related to M&amp;A</t>
  </si>
  <si>
    <t>Equity Capital Raise</t>
  </si>
  <si>
    <t>Net Change in Debt</t>
  </si>
  <si>
    <t>Change in Cash</t>
  </si>
  <si>
    <t>Net Income</t>
  </si>
  <si>
    <t>Total Operating Activities</t>
  </si>
  <si>
    <t>Cash Flow from Investing Activities:</t>
  </si>
  <si>
    <t>Total Investing Activities</t>
  </si>
  <si>
    <t>Cash Flow from Financing Activities:</t>
  </si>
  <si>
    <t>Total Financing Activities</t>
  </si>
  <si>
    <t xml:space="preserve">Accounts Receivable </t>
  </si>
  <si>
    <t>Other Current Assets</t>
  </si>
  <si>
    <t>Cash Reporting</t>
  </si>
  <si>
    <t>Statement of Cash Flow (Detailed Model)</t>
  </si>
  <si>
    <t>Statement of Cash Flow and Detailed Cash Forecast</t>
  </si>
  <si>
    <t>Detailed Cash Flow</t>
  </si>
  <si>
    <t>P&amp;L (Supporting Info)</t>
  </si>
  <si>
    <t>Balance Sheet (Supporting Info)</t>
  </si>
  <si>
    <t>Use this tab to input your P&amp;L to feed into the Statement of Cash Flow</t>
  </si>
  <si>
    <t>Use this tab to input your Balance Sheet to feed into the Statement of Cash Flow</t>
  </si>
  <si>
    <t>This tab can be used to project cash balances in a more detailed fashion (similar to direct model)</t>
  </si>
  <si>
    <t>This tab is to be used to report the Statement of Cash Flow that is linked to the P&amp;L and Balance Sheet</t>
  </si>
  <si>
    <t>How Cube Helps</t>
  </si>
  <si>
    <t>5th Tab</t>
  </si>
  <si>
    <t xml:space="preserve">This is template is designed to help finance professionals establish cash flow reporting and forecasting best practices. The template contains formulas to prepopulate value on the Statement of Cash Flow based on input from the Supporting Information tabs.
To use the model: 
1. Replace the chart of accounts in each tab with the chart of accounts for your organization. 
2. Update the top of the Cash Flow (Indirect) tab with the Company Name as well as any other detail (product name, scenario name, etc.) needed.
3. Enter or Copy the appropriate historical values into the report
4. Validate that the calculations are working appropriately and utilize the 'Checks' built into the report to ensure every account is accounted for appropriately.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</si>
</sst>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mm/dd/yy;@"/>
    <numFmt numFmtId="165" formatCode="_(* #,##0_);_(* \(#,##0\);_(* &quot;-&quot;??_);_(@_)"/>
    <numFmt numFmtId="166" formatCode="0.0%"/>
    <numFmt numFmtId="167" formatCode="_(&quot;$&quot;* #,##0_);_(&quot;$&quot;* \(#,##0\);_(&quot;$&quot;* &quot;-&quot;??_);_(@_)"/>
    <numFmt numFmtId="168" formatCode="&quot;$&quot;#,##0"/>
    <numFmt numFmtId="169" formatCode="_([$$-409]* #,##0_);_([$$-409]* \(#,##0\);_([$$-409]*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rgb="FF0000FF"/>
      <name val="Calibri"/>
      <family val="2"/>
      <scheme val="minor"/>
    </font>
    <font>
      <b/>
      <sz val="11"/>
      <color rgb="FF000000"/>
      <name val="Calibri"/>
      <family val="2"/>
      <scheme val="minor"/>
    </font>
    <font>
      <b/>
      <sz val="11"/>
      <name val="Calibri"/>
      <family val="2"/>
      <scheme val="minor"/>
    </font>
    <font>
      <sz val="11"/>
      <color rgb="FF000000"/>
      <name val="Calibri"/>
      <family val="2"/>
      <scheme val="minor"/>
    </font>
    <font>
      <sz val="8"/>
      <name val="Calibri"/>
      <family val="2"/>
      <scheme val="minor"/>
    </font>
    <font>
      <b/>
      <u/>
      <sz val="11"/>
      <color theme="1"/>
      <name val="Calibri"/>
      <family val="2"/>
      <scheme val="minor"/>
    </font>
    <font>
      <sz val="11"/>
      <name val="Calibri"/>
      <family val="2"/>
      <scheme val="minor"/>
    </font>
    <font>
      <b/>
      <sz val="9"/>
      <color rgb="FFFF0000"/>
      <name val="Calibri"/>
      <family val="2"/>
      <scheme val="minor"/>
    </font>
    <font>
      <i/>
      <sz val="11"/>
      <color theme="1"/>
      <name val="Calibri"/>
      <family val="2"/>
      <scheme val="minor"/>
    </font>
    <font>
      <i/>
      <sz val="11"/>
      <color rgb="FF000000"/>
      <name val="Calibri"/>
      <family val="2"/>
      <scheme val="minor"/>
    </font>
    <font>
      <sz val="12"/>
      <color theme="1"/>
      <name val="Calibri"/>
      <family val="2"/>
      <scheme val="minor"/>
    </font>
    <font>
      <sz val="11"/>
      <color theme="0"/>
      <name val="Leelawadee"/>
      <family val="2"/>
    </font>
    <font>
      <sz val="10"/>
      <color rgb="FF000000"/>
      <name val="Calibri"/>
      <family val="2"/>
      <scheme val="minor"/>
    </font>
    <font>
      <sz val="18"/>
      <color rgb="FF000000"/>
      <name val="Calibri"/>
      <family val="2"/>
      <scheme val="minor"/>
    </font>
    <font>
      <sz val="14"/>
      <color rgb="FF000000"/>
      <name val="Calibri"/>
      <family val="2"/>
      <scheme val="minor"/>
    </font>
    <font>
      <sz val="18"/>
      <color rgb="FF00008D"/>
      <name val="Calibri"/>
      <family val="2"/>
      <scheme val="minor"/>
    </font>
    <font>
      <u/>
      <sz val="12"/>
      <color theme="10"/>
      <name val="Calibri"/>
      <family val="2"/>
      <scheme val="minor"/>
    </font>
    <font>
      <b/>
      <sz val="16"/>
      <color theme="0"/>
      <name val="Calibri"/>
      <family val="2"/>
      <scheme val="minor"/>
    </font>
    <font>
      <sz val="16"/>
      <color rgb="FF000000"/>
      <name val="Calibri"/>
      <family val="2"/>
      <scheme val="minor"/>
    </font>
    <font>
      <b/>
      <sz val="14"/>
      <color rgb="FF000000"/>
      <name val="Calibri"/>
      <family val="2"/>
      <scheme val="minor"/>
    </font>
    <font>
      <sz val="11"/>
      <color theme="1"/>
      <name val="Calibri"/>
      <family val="2"/>
    </font>
    <font>
      <sz val="12"/>
      <color theme="1"/>
      <name val="Arial"/>
      <family val="2"/>
    </font>
    <font>
      <b/>
      <sz val="11"/>
      <color rgb="FFF8F8F8"/>
      <name val="Calibri"/>
      <family val="2"/>
    </font>
    <font>
      <b/>
      <sz val="16"/>
      <color theme="0"/>
      <name val="Calibri"/>
      <family val="2"/>
    </font>
    <font>
      <sz val="12"/>
      <color rgb="FF000087"/>
      <name val="Calibri"/>
      <family val="2"/>
    </font>
    <font>
      <sz val="16"/>
      <color theme="0"/>
      <name val="Calibri"/>
      <family val="2"/>
      <scheme val="minor"/>
    </font>
    <font>
      <sz val="16"/>
      <color theme="1"/>
      <name val="Calibri"/>
      <family val="2"/>
    </font>
    <font>
      <sz val="16"/>
      <color rgb="FF000087"/>
      <name val="Calibri"/>
      <family val="2"/>
    </font>
    <font>
      <sz val="10"/>
      <color rgb="FF000000"/>
      <name val="Calibri"/>
      <family val="2"/>
    </font>
    <font>
      <b/>
      <sz val="12"/>
      <color theme="0"/>
      <name val="Calibri"/>
      <family val="2"/>
    </font>
    <font>
      <b/>
      <u/>
      <sz val="12"/>
      <color theme="1"/>
      <name val="Calibri"/>
      <family val="2"/>
      <scheme val="minor"/>
    </font>
    <font>
      <sz val="11"/>
      <color rgb="FF000087"/>
      <name val="Calibri"/>
      <family val="2"/>
    </font>
    <font>
      <b/>
      <sz val="11"/>
      <color theme="1"/>
      <name val="Calibri"/>
      <family val="2"/>
    </font>
    <font>
      <b/>
      <sz val="12"/>
      <color theme="1"/>
      <name val="Calibri"/>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008D"/>
        <bgColor indexed="64"/>
      </patternFill>
    </fill>
    <fill>
      <patternFill patternType="solid">
        <fgColor rgb="FFE6F6F6"/>
        <bgColor indexed="64"/>
      </patternFill>
    </fill>
    <fill>
      <patternFill patternType="solid">
        <fgColor rgb="FF000087"/>
        <bgColor indexed="64"/>
      </patternFill>
    </fill>
    <fill>
      <patternFill patternType="solid">
        <fgColor rgb="FF0F0F4D"/>
        <bgColor indexed="64"/>
      </patternFill>
    </fill>
    <fill>
      <patternFill patternType="solid">
        <fgColor rgb="FFF3F7FD"/>
        <bgColor indexed="64"/>
      </patternFill>
    </fill>
    <fill>
      <patternFill patternType="solid">
        <fgColor rgb="FFB7E3E4"/>
        <bgColor indexed="64"/>
      </patternFill>
    </fill>
    <fill>
      <patternFill patternType="solid">
        <fgColor rgb="FF469CA3"/>
        <bgColor indexed="64"/>
      </patternFill>
    </fill>
  </fills>
  <borders count="22">
    <border>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diagonal/>
    </border>
    <border>
      <left/>
      <right style="thin">
        <color theme="4" tint="0.79998168889431442"/>
      </right>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style="thin">
        <color theme="4" tint="0.79998168889431442"/>
      </left>
      <right/>
      <top/>
      <bottom style="thin">
        <color theme="0" tint="-0.249977111117893"/>
      </bottom>
      <diagonal/>
    </border>
    <border>
      <left/>
      <right/>
      <top/>
      <bottom style="thin">
        <color theme="0" tint="-0.249977111117893"/>
      </bottom>
      <diagonal/>
    </border>
    <border>
      <left/>
      <right style="thin">
        <color theme="4" tint="0.79998168889431442"/>
      </right>
      <top/>
      <bottom style="thin">
        <color theme="0" tint="-0.249977111117893"/>
      </bottom>
      <diagonal/>
    </border>
    <border>
      <left style="thin">
        <color rgb="FF61BFB9"/>
      </left>
      <right style="thin">
        <color rgb="FF61BFB9"/>
      </right>
      <top style="thin">
        <color rgb="FF61BFB9"/>
      </top>
      <bottom/>
      <diagonal/>
    </border>
    <border>
      <left style="thin">
        <color rgb="FF61BFB9"/>
      </left>
      <right style="thin">
        <color rgb="FF61BFB9"/>
      </right>
      <top/>
      <bottom style="thin">
        <color rgb="FF61BFB9"/>
      </bottom>
      <diagonal/>
    </border>
    <border>
      <left style="thin">
        <color rgb="FFF3F7FD"/>
      </left>
      <right style="thin">
        <color rgb="FFF3F7FD"/>
      </right>
      <top style="thin">
        <color rgb="FFF3F7FD"/>
      </top>
      <bottom/>
      <diagonal/>
    </border>
    <border>
      <left/>
      <right/>
      <top style="thin">
        <color rgb="FF61BFB9"/>
      </top>
      <bottom/>
      <diagonal/>
    </border>
    <border>
      <left style="thin">
        <color rgb="FF61BFB9"/>
      </left>
      <right/>
      <top/>
      <bottom/>
      <diagonal/>
    </border>
    <border>
      <left/>
      <right/>
      <top/>
      <bottom style="thin">
        <color rgb="FF61BFB9"/>
      </bottom>
      <diagonal/>
    </border>
    <border>
      <left/>
      <right/>
      <top style="thin">
        <color rgb="FF61BFB9"/>
      </top>
      <bottom style="thin">
        <color rgb="FFF3F7FD"/>
      </bottom>
      <diagonal/>
    </border>
  </borders>
  <cellStyleXfs count="12">
    <xf numFmtId="0" fontId="0"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5" fillId="0" borderId="0"/>
    <xf numFmtId="0" fontId="19" fillId="0" borderId="0" applyNumberFormat="0" applyFill="0" applyBorder="0" applyAlignment="0" applyProtection="0"/>
    <xf numFmtId="0" fontId="13" fillId="0" borderId="0"/>
    <xf numFmtId="43" fontId="13" fillId="0" borderId="0" applyFont="0" applyFill="0" applyBorder="0" applyAlignment="0" applyProtection="0"/>
    <xf numFmtId="0" fontId="24" fillId="0" borderId="0"/>
    <xf numFmtId="43" fontId="24" fillId="0" borderId="0" applyFont="0" applyFill="0" applyBorder="0" applyAlignment="0" applyProtection="0"/>
  </cellStyleXfs>
  <cellXfs count="152">
    <xf numFmtId="0" fontId="0" fillId="0" borderId="0" xfId="0"/>
    <xf numFmtId="0" fontId="2" fillId="0" borderId="0" xfId="0" applyFont="1"/>
    <xf numFmtId="164" fontId="2" fillId="0" borderId="0" xfId="0" applyNumberFormat="1" applyFont="1" applyAlignment="1">
      <alignment horizontal="center"/>
    </xf>
    <xf numFmtId="0" fontId="0" fillId="0" borderId="0" xfId="0" applyBorder="1"/>
    <xf numFmtId="0" fontId="2" fillId="0" borderId="0" xfId="0" applyFont="1" applyBorder="1" applyAlignment="1">
      <alignment horizontal="center"/>
    </xf>
    <xf numFmtId="164" fontId="2" fillId="0" borderId="0" xfId="0" applyNumberFormat="1" applyFont="1" applyAlignment="1">
      <alignment horizontal="center" vertical="center"/>
    </xf>
    <xf numFmtId="164" fontId="2" fillId="0" borderId="0" xfId="0" applyNumberFormat="1" applyFont="1" applyBorder="1" applyAlignment="1">
      <alignment horizontal="center"/>
    </xf>
    <xf numFmtId="0" fontId="2" fillId="2" borderId="0" xfId="0" applyFont="1" applyFill="1" applyBorder="1" applyAlignment="1">
      <alignment horizontal="center"/>
    </xf>
    <xf numFmtId="0" fontId="2" fillId="2" borderId="0" xfId="0" applyFont="1" applyFill="1" applyBorder="1"/>
    <xf numFmtId="0" fontId="0" fillId="2" borderId="0" xfId="0" applyFill="1" applyBorder="1"/>
    <xf numFmtId="0" fontId="0" fillId="2" borderId="0" xfId="0" applyFill="1"/>
    <xf numFmtId="0" fontId="0" fillId="0" borderId="0" xfId="0" applyAlignment="1">
      <alignment horizontal="center"/>
    </xf>
    <xf numFmtId="0" fontId="2" fillId="2" borderId="0" xfId="0" applyFont="1" applyFill="1"/>
    <xf numFmtId="164" fontId="2" fillId="2" borderId="0" xfId="0" applyNumberFormat="1" applyFont="1" applyFill="1" applyAlignment="1">
      <alignment horizontal="center"/>
    </xf>
    <xf numFmtId="164" fontId="2" fillId="2" borderId="0" xfId="0" applyNumberFormat="1" applyFont="1" applyFill="1" applyAlignment="1">
      <alignment horizontal="center" vertical="center"/>
    </xf>
    <xf numFmtId="0" fontId="2" fillId="2" borderId="0" xfId="0" applyFont="1" applyFill="1" applyAlignment="1">
      <alignment horizontal="center"/>
    </xf>
    <xf numFmtId="165" fontId="4" fillId="0" borderId="2" xfId="2" applyNumberFormat="1" applyFont="1" applyBorder="1"/>
    <xf numFmtId="0" fontId="14" fillId="2" borderId="0" xfId="3" applyFont="1" applyFill="1"/>
    <xf numFmtId="0" fontId="8" fillId="0" borderId="0" xfId="0" applyFont="1"/>
    <xf numFmtId="9" fontId="0" fillId="0" borderId="0" xfId="0" applyNumberFormat="1" applyAlignment="1">
      <alignment horizontal="center"/>
    </xf>
    <xf numFmtId="166" fontId="0" fillId="0" borderId="0" xfId="0" applyNumberFormat="1" applyAlignment="1">
      <alignment horizontal="center"/>
    </xf>
    <xf numFmtId="0" fontId="0" fillId="0" borderId="0" xfId="0" quotePrefix="1" applyAlignment="1">
      <alignment horizontal="center"/>
    </xf>
    <xf numFmtId="0" fontId="23" fillId="7" borderId="0" xfId="10" applyFont="1" applyFill="1"/>
    <xf numFmtId="0" fontId="26" fillId="7" borderId="0" xfId="10" applyFont="1" applyFill="1" applyAlignment="1">
      <alignment horizontal="center" vertical="center"/>
    </xf>
    <xf numFmtId="0" fontId="16" fillId="3" borderId="0" xfId="10" applyFont="1" applyFill="1"/>
    <xf numFmtId="0" fontId="17" fillId="3" borderId="0" xfId="10" applyFont="1" applyFill="1"/>
    <xf numFmtId="0" fontId="18" fillId="3" borderId="0" xfId="10" applyFont="1" applyFill="1"/>
    <xf numFmtId="0" fontId="20" fillId="7" borderId="0" xfId="10" applyFont="1" applyFill="1"/>
    <xf numFmtId="0" fontId="28" fillId="7" borderId="0" xfId="10" applyFont="1" applyFill="1"/>
    <xf numFmtId="0" fontId="21" fillId="3" borderId="0" xfId="10" applyFont="1" applyFill="1"/>
    <xf numFmtId="0" fontId="17" fillId="2" borderId="4" xfId="10" applyFont="1" applyFill="1" applyBorder="1" applyAlignment="1">
      <alignment horizontal="left" vertical="top" wrapText="1"/>
    </xf>
    <xf numFmtId="0" fontId="17" fillId="2" borderId="5" xfId="10" applyFont="1" applyFill="1" applyBorder="1" applyAlignment="1">
      <alignment horizontal="left" vertical="top" wrapText="1"/>
    </xf>
    <xf numFmtId="0" fontId="17" fillId="2" borderId="6" xfId="10" applyFont="1" applyFill="1" applyBorder="1" applyAlignment="1">
      <alignment horizontal="left" vertical="top" wrapText="1"/>
    </xf>
    <xf numFmtId="0" fontId="17" fillId="2" borderId="9" xfId="10" applyFont="1" applyFill="1" applyBorder="1" applyAlignment="1">
      <alignment horizontal="left" vertical="top" wrapText="1"/>
    </xf>
    <xf numFmtId="0" fontId="17" fillId="2" borderId="10" xfId="10" applyFont="1" applyFill="1" applyBorder="1" applyAlignment="1">
      <alignment horizontal="left" vertical="top" wrapText="1"/>
    </xf>
    <xf numFmtId="0" fontId="17" fillId="2" borderId="11" xfId="10" applyFont="1" applyFill="1" applyBorder="1" applyAlignment="1">
      <alignment horizontal="left" vertical="top" wrapText="1"/>
    </xf>
    <xf numFmtId="0" fontId="17" fillId="3" borderId="0" xfId="10" applyFont="1" applyFill="1" applyAlignment="1">
      <alignment vertical="center"/>
    </xf>
    <xf numFmtId="0" fontId="17" fillId="2" borderId="7" xfId="10" applyFont="1" applyFill="1" applyBorder="1" applyAlignment="1">
      <alignment horizontal="left" vertical="center" indent="1"/>
    </xf>
    <xf numFmtId="0" fontId="17" fillId="2" borderId="0" xfId="10" applyFont="1" applyFill="1" applyAlignment="1">
      <alignment vertical="center"/>
    </xf>
    <xf numFmtId="0" fontId="17" fillId="2" borderId="8" xfId="10" applyFont="1" applyFill="1" applyBorder="1" applyAlignment="1">
      <alignment vertical="center"/>
    </xf>
    <xf numFmtId="0" fontId="26" fillId="7" borderId="0" xfId="10" applyFont="1" applyFill="1" applyAlignment="1">
      <alignment horizontal="left" vertical="center"/>
    </xf>
    <xf numFmtId="0" fontId="31" fillId="0" borderId="0" xfId="0" applyFont="1"/>
    <xf numFmtId="165" fontId="27" fillId="8" borderId="15" xfId="11" applyNumberFormat="1" applyFont="1" applyFill="1" applyBorder="1" applyAlignment="1">
      <alignment horizontal="center" vertical="center"/>
    </xf>
    <xf numFmtId="165" fontId="0" fillId="0" borderId="0" xfId="0" applyNumberFormat="1"/>
    <xf numFmtId="165" fontId="27" fillId="2" borderId="18" xfId="11" applyNumberFormat="1" applyFont="1" applyFill="1" applyBorder="1" applyAlignment="1">
      <alignment horizontal="center" vertical="center"/>
    </xf>
    <xf numFmtId="0" fontId="32" fillId="2" borderId="0" xfId="0" applyFont="1" applyFill="1" applyBorder="1"/>
    <xf numFmtId="0" fontId="32" fillId="4" borderId="0" xfId="0" applyFont="1" applyFill="1" applyAlignment="1">
      <alignment horizontal="right" indent="1"/>
    </xf>
    <xf numFmtId="0" fontId="33" fillId="0" borderId="0" xfId="0" applyFont="1"/>
    <xf numFmtId="0" fontId="2" fillId="0" borderId="0" xfId="0" applyFont="1" applyAlignment="1">
      <alignment horizontal="left" indent="1"/>
    </xf>
    <xf numFmtId="0" fontId="0" fillId="0" borderId="0" xfId="0" applyAlignment="1">
      <alignment horizontal="left" indent="2"/>
    </xf>
    <xf numFmtId="165" fontId="27" fillId="2" borderId="0" xfId="11" applyNumberFormat="1" applyFont="1" applyFill="1" applyBorder="1" applyAlignment="1">
      <alignment horizontal="center" vertical="center"/>
    </xf>
    <xf numFmtId="165" fontId="6" fillId="0" borderId="0" xfId="2" applyNumberFormat="1" applyFont="1"/>
    <xf numFmtId="165" fontId="0" fillId="0" borderId="0" xfId="2" applyNumberFormat="1" applyFont="1"/>
    <xf numFmtId="165" fontId="4" fillId="0" borderId="0" xfId="2" applyNumberFormat="1" applyFont="1"/>
    <xf numFmtId="167" fontId="6" fillId="0" borderId="0" xfId="1" applyNumberFormat="1" applyFont="1"/>
    <xf numFmtId="165" fontId="4" fillId="0" borderId="0" xfId="2" applyNumberFormat="1" applyFont="1" applyBorder="1"/>
    <xf numFmtId="17" fontId="25" fillId="6" borderId="17" xfId="0" quotePrefix="1" applyNumberFormat="1" applyFont="1" applyFill="1" applyBorder="1" applyAlignment="1">
      <alignment horizontal="center"/>
    </xf>
    <xf numFmtId="49" fontId="25" fillId="6" borderId="17" xfId="0" quotePrefix="1" applyNumberFormat="1" applyFont="1" applyFill="1" applyBorder="1" applyAlignment="1">
      <alignment horizontal="center"/>
    </xf>
    <xf numFmtId="167" fontId="4" fillId="0" borderId="3" xfId="1" applyNumberFormat="1" applyFont="1" applyBorder="1"/>
    <xf numFmtId="165" fontId="4" fillId="0" borderId="1" xfId="2" applyNumberFormat="1" applyFont="1" applyBorder="1"/>
    <xf numFmtId="165" fontId="10" fillId="0" borderId="0" xfId="2" applyNumberFormat="1" applyFont="1" applyAlignment="1">
      <alignment horizontal="center"/>
    </xf>
    <xf numFmtId="3" fontId="23" fillId="2" borderId="18" xfId="11" applyNumberFormat="1" applyFont="1" applyFill="1" applyBorder="1" applyAlignment="1">
      <alignment vertical="center"/>
    </xf>
    <xf numFmtId="165" fontId="23" fillId="5" borderId="15" xfId="2" applyNumberFormat="1" applyFont="1" applyFill="1" applyBorder="1" applyAlignment="1">
      <alignment vertical="center"/>
    </xf>
    <xf numFmtId="0" fontId="0" fillId="2" borderId="0" xfId="0" applyFill="1" applyBorder="1" applyAlignment="1">
      <alignment horizontal="center"/>
    </xf>
    <xf numFmtId="0" fontId="0" fillId="2" borderId="0" xfId="0" applyFont="1" applyFill="1" applyBorder="1"/>
    <xf numFmtId="165" fontId="6" fillId="2" borderId="0" xfId="2" applyNumberFormat="1" applyFont="1" applyFill="1" applyBorder="1"/>
    <xf numFmtId="165" fontId="1" fillId="2" borderId="0" xfId="2" applyNumberFormat="1" applyFont="1" applyFill="1" applyBorder="1"/>
    <xf numFmtId="165" fontId="4" fillId="2" borderId="0" xfId="2" applyNumberFormat="1" applyFont="1" applyFill="1" applyBorder="1"/>
    <xf numFmtId="0" fontId="11" fillId="2" borderId="0" xfId="0" applyFont="1" applyFill="1" applyBorder="1"/>
    <xf numFmtId="0" fontId="0" fillId="2" borderId="0" xfId="0" applyFont="1" applyFill="1" applyBorder="1" applyAlignment="1">
      <alignment horizontal="left" indent="2"/>
    </xf>
    <xf numFmtId="0" fontId="2" fillId="2" borderId="0" xfId="0" applyFont="1" applyFill="1" applyBorder="1" applyAlignment="1">
      <alignment horizontal="left" indent="1"/>
    </xf>
    <xf numFmtId="166" fontId="12" fillId="2" borderId="0" xfId="5" applyNumberFormat="1" applyFont="1" applyFill="1" applyBorder="1"/>
    <xf numFmtId="0" fontId="11" fillId="2" borderId="0" xfId="0" applyFont="1" applyFill="1"/>
    <xf numFmtId="0" fontId="23" fillId="7" borderId="0" xfId="10" applyFont="1" applyFill="1" applyAlignment="1">
      <alignment horizontal="right"/>
    </xf>
    <xf numFmtId="0" fontId="0" fillId="0" borderId="0" xfId="0" applyAlignment="1">
      <alignment horizontal="right"/>
    </xf>
    <xf numFmtId="0" fontId="0" fillId="0" borderId="0" xfId="0" applyBorder="1" applyAlignment="1">
      <alignment horizontal="right"/>
    </xf>
    <xf numFmtId="0" fontId="0" fillId="2" borderId="0" xfId="0" applyFill="1" applyBorder="1" applyAlignment="1">
      <alignment horizontal="right"/>
    </xf>
    <xf numFmtId="0" fontId="10" fillId="2" borderId="0" xfId="0" applyFont="1" applyFill="1" applyBorder="1" applyAlignment="1">
      <alignment horizontal="right" vertical="center"/>
    </xf>
    <xf numFmtId="0" fontId="2" fillId="2" borderId="0" xfId="0" applyFont="1" applyFill="1" applyBorder="1" applyAlignment="1">
      <alignment horizontal="right"/>
    </xf>
    <xf numFmtId="0" fontId="11" fillId="2" borderId="0" xfId="0" applyFont="1" applyFill="1" applyBorder="1" applyAlignment="1">
      <alignment horizontal="right"/>
    </xf>
    <xf numFmtId="167" fontId="6" fillId="2" borderId="0" xfId="1" applyNumberFormat="1" applyFont="1" applyFill="1" applyBorder="1"/>
    <xf numFmtId="167" fontId="0" fillId="2" borderId="0" xfId="1" applyNumberFormat="1" applyFont="1" applyFill="1" applyBorder="1"/>
    <xf numFmtId="167" fontId="4" fillId="2" borderId="0" xfId="1" applyNumberFormat="1" applyFont="1" applyFill="1" applyBorder="1"/>
    <xf numFmtId="167" fontId="2" fillId="2" borderId="0" xfId="1" applyNumberFormat="1" applyFont="1" applyFill="1" applyBorder="1"/>
    <xf numFmtId="167" fontId="4" fillId="2" borderId="1" xfId="1" applyNumberFormat="1" applyFont="1" applyFill="1" applyBorder="1"/>
    <xf numFmtId="167" fontId="4" fillId="2" borderId="3" xfId="1" applyNumberFormat="1" applyFont="1" applyFill="1" applyBorder="1"/>
    <xf numFmtId="167" fontId="4" fillId="2" borderId="2" xfId="1" applyNumberFormat="1" applyFont="1" applyFill="1" applyBorder="1"/>
    <xf numFmtId="0" fontId="10" fillId="0" borderId="0" xfId="0" applyFont="1" applyAlignment="1">
      <alignment horizontal="center"/>
    </xf>
    <xf numFmtId="0" fontId="2" fillId="0" borderId="0" xfId="0" applyFont="1" applyBorder="1" applyAlignment="1">
      <alignment horizontal="center" wrapText="1"/>
    </xf>
    <xf numFmtId="0" fontId="0" fillId="0" borderId="19" xfId="0" applyBorder="1"/>
    <xf numFmtId="164" fontId="2" fillId="2" borderId="0" xfId="0" applyNumberFormat="1" applyFont="1" applyFill="1" applyBorder="1" applyAlignment="1">
      <alignment horizontal="center" vertical="center"/>
    </xf>
    <xf numFmtId="164" fontId="2" fillId="2" borderId="0" xfId="0" applyNumberFormat="1" applyFont="1" applyFill="1" applyBorder="1" applyAlignment="1">
      <alignment horizontal="center"/>
    </xf>
    <xf numFmtId="164" fontId="2" fillId="0" borderId="0" xfId="0" applyNumberFormat="1" applyFont="1" applyBorder="1" applyAlignment="1">
      <alignment horizontal="center" vertical="center"/>
    </xf>
    <xf numFmtId="164" fontId="2" fillId="2" borderId="0" xfId="0" applyNumberFormat="1" applyFont="1" applyFill="1" applyBorder="1" applyAlignment="1">
      <alignment horizontal="center" vertical="center" wrapText="1"/>
    </xf>
    <xf numFmtId="164" fontId="2" fillId="2" borderId="0" xfId="0" applyNumberFormat="1" applyFont="1" applyFill="1" applyBorder="1" applyAlignment="1">
      <alignment vertical="center"/>
    </xf>
    <xf numFmtId="164" fontId="0" fillId="2" borderId="0" xfId="0" applyNumberFormat="1" applyFill="1" applyBorder="1" applyAlignment="1">
      <alignment vertical="center"/>
    </xf>
    <xf numFmtId="42" fontId="0" fillId="2" borderId="0" xfId="1" applyNumberFormat="1" applyFont="1" applyFill="1" applyBorder="1"/>
    <xf numFmtId="0" fontId="8" fillId="2" borderId="0" xfId="0" applyFont="1" applyFill="1" applyBorder="1" applyAlignment="1">
      <alignment horizontal="left"/>
    </xf>
    <xf numFmtId="165" fontId="0" fillId="2" borderId="0" xfId="2" applyNumberFormat="1" applyFont="1" applyFill="1" applyBorder="1"/>
    <xf numFmtId="9" fontId="0" fillId="2" borderId="0" xfId="1" applyNumberFormat="1" applyFont="1" applyFill="1" applyBorder="1"/>
    <xf numFmtId="0" fontId="8" fillId="2" borderId="0" xfId="0" applyFont="1" applyFill="1" applyBorder="1"/>
    <xf numFmtId="42" fontId="2" fillId="2" borderId="0" xfId="1" applyNumberFormat="1" applyFont="1" applyFill="1" applyBorder="1"/>
    <xf numFmtId="42" fontId="6" fillId="2" borderId="0" xfId="1" applyNumberFormat="1" applyFont="1" applyFill="1" applyBorder="1"/>
    <xf numFmtId="0" fontId="0" fillId="2" borderId="0" xfId="0" applyFill="1" applyBorder="1" applyAlignment="1">
      <alignment horizontal="left" indent="1"/>
    </xf>
    <xf numFmtId="165" fontId="3" fillId="2" borderId="0" xfId="2" applyNumberFormat="1" applyFont="1" applyFill="1" applyBorder="1"/>
    <xf numFmtId="42" fontId="4" fillId="2" borderId="0" xfId="1" applyNumberFormat="1" applyFont="1" applyFill="1" applyBorder="1"/>
    <xf numFmtId="42" fontId="3" fillId="2" borderId="0" xfId="1" applyNumberFormat="1" applyFont="1" applyFill="1" applyBorder="1"/>
    <xf numFmtId="165" fontId="9" fillId="2" borderId="0" xfId="2" applyNumberFormat="1" applyFont="1" applyFill="1" applyBorder="1"/>
    <xf numFmtId="0" fontId="8" fillId="2" borderId="0" xfId="0" applyFont="1" applyFill="1" applyBorder="1" applyAlignment="1">
      <alignment horizontal="left" indent="1"/>
    </xf>
    <xf numFmtId="42" fontId="5" fillId="2" borderId="0" xfId="1" applyNumberFormat="1" applyFont="1" applyFill="1" applyBorder="1"/>
    <xf numFmtId="0" fontId="10" fillId="2" borderId="0" xfId="0" applyFont="1" applyFill="1" applyBorder="1" applyAlignment="1">
      <alignment horizontal="center"/>
    </xf>
    <xf numFmtId="42" fontId="0" fillId="2" borderId="0" xfId="0" applyNumberFormat="1" applyFill="1" applyBorder="1"/>
    <xf numFmtId="3" fontId="23" fillId="5" borderId="0" xfId="11" applyNumberFormat="1" applyFont="1" applyFill="1" applyBorder="1" applyAlignment="1">
      <alignment vertical="center"/>
    </xf>
    <xf numFmtId="165" fontId="23" fillId="9" borderId="15" xfId="11" applyNumberFormat="1" applyFont="1" applyFill="1" applyBorder="1" applyAlignment="1">
      <alignment vertical="center"/>
    </xf>
    <xf numFmtId="165" fontId="23" fillId="2" borderId="18" xfId="11" applyNumberFormat="1" applyFont="1" applyFill="1" applyBorder="1" applyAlignment="1">
      <alignment vertical="center"/>
    </xf>
    <xf numFmtId="165" fontId="30" fillId="2" borderId="0" xfId="11" applyNumberFormat="1" applyFont="1" applyFill="1" applyBorder="1" applyAlignment="1">
      <alignment vertical="center"/>
    </xf>
    <xf numFmtId="165" fontId="29" fillId="2" borderId="18" xfId="11" applyNumberFormat="1" applyFont="1" applyFill="1" applyBorder="1" applyAlignment="1">
      <alignment vertical="center"/>
    </xf>
    <xf numFmtId="0" fontId="0" fillId="2" borderId="0" xfId="0" applyFont="1" applyFill="1" applyBorder="1" applyAlignment="1">
      <alignment horizontal="left" indent="3"/>
    </xf>
    <xf numFmtId="165" fontId="34" fillId="8" borderId="0" xfId="11" applyNumberFormat="1" applyFont="1" applyFill="1" applyBorder="1" applyAlignment="1">
      <alignment vertical="center"/>
    </xf>
    <xf numFmtId="165" fontId="34" fillId="8" borderId="20" xfId="11" applyNumberFormat="1" applyFont="1" applyFill="1" applyBorder="1" applyAlignment="1">
      <alignment vertical="center"/>
    </xf>
    <xf numFmtId="165" fontId="23" fillId="5" borderId="0" xfId="2" applyNumberFormat="1" applyFont="1" applyFill="1" applyBorder="1" applyAlignment="1">
      <alignment vertical="center"/>
    </xf>
    <xf numFmtId="164" fontId="2" fillId="0" borderId="19" xfId="0" applyNumberFormat="1" applyFont="1" applyBorder="1" applyAlignment="1">
      <alignment horizontal="center"/>
    </xf>
    <xf numFmtId="165" fontId="27" fillId="2" borderId="21" xfId="11" applyNumberFormat="1" applyFont="1" applyFill="1" applyBorder="1" applyAlignment="1">
      <alignment horizontal="center" vertical="center"/>
    </xf>
    <xf numFmtId="166" fontId="27" fillId="8" borderId="15" xfId="5" applyNumberFormat="1" applyFont="1" applyFill="1" applyBorder="1" applyAlignment="1">
      <alignment horizontal="center" vertical="center"/>
    </xf>
    <xf numFmtId="9" fontId="34" fillId="8" borderId="0" xfId="5" applyFont="1" applyFill="1" applyBorder="1" applyAlignment="1">
      <alignment vertical="center"/>
    </xf>
    <xf numFmtId="169" fontId="35" fillId="5" borderId="0" xfId="2" applyNumberFormat="1" applyFont="1" applyFill="1" applyBorder="1" applyAlignment="1">
      <alignment vertical="center"/>
    </xf>
    <xf numFmtId="0" fontId="0" fillId="10" borderId="0" xfId="0" applyFill="1"/>
    <xf numFmtId="168" fontId="36" fillId="0" borderId="0" xfId="0" applyNumberFormat="1" applyFont="1" applyAlignment="1">
      <alignment horizontal="center" vertical="center"/>
    </xf>
    <xf numFmtId="0" fontId="22" fillId="2" borderId="7" xfId="10" applyFont="1" applyFill="1" applyBorder="1" applyAlignment="1">
      <alignment horizontal="left" vertical="center" wrapText="1" indent="1"/>
    </xf>
    <xf numFmtId="0" fontId="22" fillId="2" borderId="12" xfId="10" applyFont="1" applyFill="1" applyBorder="1" applyAlignment="1">
      <alignment horizontal="left" vertical="center" wrapText="1" indent="1"/>
    </xf>
    <xf numFmtId="0" fontId="17" fillId="2" borderId="0" xfId="10" applyFont="1" applyFill="1" applyAlignment="1">
      <alignment vertical="center" wrapText="1"/>
    </xf>
    <xf numFmtId="0" fontId="17" fillId="2" borderId="13" xfId="10" applyFont="1" applyFill="1" applyBorder="1" applyAlignment="1">
      <alignment vertical="center" wrapText="1"/>
    </xf>
    <xf numFmtId="0" fontId="17" fillId="2" borderId="8" xfId="10" applyFont="1" applyFill="1" applyBorder="1" applyAlignment="1">
      <alignment vertical="center" wrapText="1"/>
    </xf>
    <xf numFmtId="0" fontId="17" fillId="2" borderId="14" xfId="10" applyFont="1" applyFill="1" applyBorder="1" applyAlignment="1">
      <alignment vertical="center" wrapText="1"/>
    </xf>
    <xf numFmtId="0" fontId="22" fillId="2" borderId="7" xfId="10" applyFont="1" applyFill="1" applyBorder="1" applyAlignment="1">
      <alignment horizontal="left" vertical="center" indent="1"/>
    </xf>
    <xf numFmtId="0" fontId="22" fillId="2" borderId="12" xfId="10" applyFont="1" applyFill="1" applyBorder="1" applyAlignment="1">
      <alignment horizontal="left" vertical="center" indent="1"/>
    </xf>
    <xf numFmtId="3" fontId="29" fillId="5" borderId="15" xfId="11" applyNumberFormat="1" applyFont="1" applyFill="1" applyBorder="1" applyAlignment="1">
      <alignment horizontal="center" vertical="center"/>
    </xf>
    <xf numFmtId="3" fontId="29" fillId="5" borderId="16" xfId="11" applyNumberFormat="1" applyFont="1" applyFill="1" applyBorder="1" applyAlignment="1">
      <alignment horizontal="center" vertical="center"/>
    </xf>
    <xf numFmtId="0" fontId="17" fillId="2" borderId="0" xfId="10" applyFont="1" applyFill="1" applyAlignment="1">
      <alignment horizontal="left" vertical="center" wrapText="1"/>
    </xf>
    <xf numFmtId="0" fontId="17" fillId="2" borderId="8" xfId="10" applyFont="1" applyFill="1" applyBorder="1" applyAlignment="1">
      <alignment horizontal="left" vertical="center" wrapText="1"/>
    </xf>
    <xf numFmtId="0" fontId="17" fillId="2" borderId="13" xfId="10" applyFont="1" applyFill="1" applyBorder="1" applyAlignment="1">
      <alignment horizontal="left" vertical="center" wrapText="1"/>
    </xf>
    <xf numFmtId="0" fontId="17" fillId="2" borderId="14" xfId="10" applyFont="1" applyFill="1" applyBorder="1" applyAlignment="1">
      <alignment horizontal="left" vertical="center" wrapText="1"/>
    </xf>
    <xf numFmtId="165" fontId="29" fillId="9" borderId="15" xfId="11" applyNumberFormat="1" applyFont="1" applyFill="1" applyBorder="1" applyAlignment="1">
      <alignment horizontal="center" vertical="center"/>
    </xf>
    <xf numFmtId="165" fontId="29" fillId="9" borderId="16" xfId="11" applyNumberFormat="1" applyFont="1" applyFill="1" applyBorder="1" applyAlignment="1">
      <alignment horizontal="center" vertical="center"/>
    </xf>
    <xf numFmtId="165" fontId="30" fillId="8" borderId="15" xfId="11" applyNumberFormat="1" applyFont="1" applyFill="1" applyBorder="1" applyAlignment="1">
      <alignment horizontal="center" vertical="center"/>
    </xf>
    <xf numFmtId="165" fontId="30" fillId="8" borderId="16" xfId="11" applyNumberFormat="1" applyFont="1" applyFill="1" applyBorder="1" applyAlignment="1">
      <alignment horizontal="center" vertical="center"/>
    </xf>
    <xf numFmtId="0" fontId="17" fillId="2" borderId="7" xfId="10" applyFont="1" applyFill="1" applyBorder="1" applyAlignment="1">
      <alignment horizontal="left" vertical="top" wrapText="1"/>
    </xf>
    <xf numFmtId="0" fontId="17" fillId="2" borderId="0" xfId="10" applyFont="1" applyFill="1" applyAlignment="1">
      <alignment horizontal="left" vertical="top" wrapText="1"/>
    </xf>
    <xf numFmtId="0" fontId="17" fillId="2" borderId="8" xfId="10" applyFont="1" applyFill="1" applyBorder="1" applyAlignment="1">
      <alignment horizontal="left" vertical="top" wrapText="1"/>
    </xf>
    <xf numFmtId="0" fontId="17" fillId="2" borderId="9" xfId="10" applyFont="1" applyFill="1" applyBorder="1" applyAlignment="1">
      <alignment horizontal="left" vertical="top" wrapText="1"/>
    </xf>
    <xf numFmtId="0" fontId="17" fillId="2" borderId="10" xfId="10" applyFont="1" applyFill="1" applyBorder="1" applyAlignment="1">
      <alignment horizontal="left" vertical="top" wrapText="1"/>
    </xf>
    <xf numFmtId="0" fontId="17" fillId="2" borderId="11" xfId="10" applyFont="1" applyFill="1" applyBorder="1" applyAlignment="1">
      <alignment horizontal="left" vertical="top" wrapText="1"/>
    </xf>
  </cellXfs>
  <cellStyles count="12">
    <cellStyle name="Comma" xfId="2" builtinId="3"/>
    <cellStyle name="Comma 2" xfId="9" xr:uid="{7B24E323-50E1-46A6-94A0-D1C16F0F5733}"/>
    <cellStyle name="Comma 3" xfId="11" xr:uid="{8598750A-1D8B-4C2D-BD0B-64F83C752EC8}"/>
    <cellStyle name="Currency" xfId="1" builtinId="4"/>
    <cellStyle name="Hyperlink 2" xfId="7" xr:uid="{E1DB56A2-5B62-4F9D-BF4E-65342715021E}"/>
    <cellStyle name="Normal" xfId="0" builtinId="0"/>
    <cellStyle name="Normal 2" xfId="3" xr:uid="{CE8C94A0-7B30-43E8-AE72-FAAAD8FA9CE9}"/>
    <cellStyle name="Normal 3" xfId="8" xr:uid="{0485A2A1-3310-4B8A-BD2C-EFCCFB589717}"/>
    <cellStyle name="Normal 4" xfId="4" xr:uid="{4D86BF13-E13B-4557-9740-B5A9399039E2}"/>
    <cellStyle name="Normal 5" xfId="10" xr:uid="{F481BCF7-4621-4F7D-B460-D67D7BE2A867}"/>
    <cellStyle name="Normal 6" xfId="6" xr:uid="{335AB667-0413-425B-9BFB-7E51DFDB3EC8}"/>
    <cellStyle name="Percent" xfId="5" builtinId="5"/>
  </cellStyles>
  <dxfs count="1">
    <dxf>
      <fill>
        <patternFill patternType="solid">
          <fgColor rgb="FFFCE8B2"/>
          <bgColor rgb="FFFCE8B2"/>
        </patternFill>
      </fill>
    </dxf>
  </dxfs>
  <tableStyles count="0" defaultTableStyle="TableStyleMedium2" defaultPivotStyle="PivotStyleLight16"/>
  <colors>
    <mruColors>
      <color rgb="FF469CA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473709</xdr:colOff>
      <xdr:row>1</xdr:row>
      <xdr:rowOff>278766</xdr:rowOff>
    </xdr:from>
    <xdr:to>
      <xdr:col>9</xdr:col>
      <xdr:colOff>641570</xdr:colOff>
      <xdr:row>3</xdr:row>
      <xdr:rowOff>190500</xdr:rowOff>
    </xdr:to>
    <xdr:pic>
      <xdr:nvPicPr>
        <xdr:cNvPr id="2" name="Picture 1">
          <a:extLst>
            <a:ext uri="{FF2B5EF4-FFF2-40B4-BE49-F238E27FC236}">
              <a16:creationId xmlns:a16="http://schemas.microsoft.com/office/drawing/2014/main" id="{10BDADBC-B1A6-49EA-8412-1E8C2688FB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55309" y="516891"/>
          <a:ext cx="1672811" cy="502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7</xdr:row>
      <xdr:rowOff>19050</xdr:rowOff>
    </xdr:from>
    <xdr:to>
      <xdr:col>2</xdr:col>
      <xdr:colOff>487103</xdr:colOff>
      <xdr:row>8</xdr:row>
      <xdr:rowOff>2720</xdr:rowOff>
    </xdr:to>
    <xdr:pic>
      <xdr:nvPicPr>
        <xdr:cNvPr id="3" name="Picture 2">
          <a:extLst>
            <a:ext uri="{FF2B5EF4-FFF2-40B4-BE49-F238E27FC236}">
              <a16:creationId xmlns:a16="http://schemas.microsoft.com/office/drawing/2014/main" id="{53A949D9-7DBD-47B5-9A6F-2258A0E01E30}"/>
            </a:ext>
          </a:extLst>
        </xdr:cNvPr>
        <xdr:cNvPicPr>
          <a:picLocks noChangeAspect="1"/>
        </xdr:cNvPicPr>
      </xdr:nvPicPr>
      <xdr:blipFill>
        <a:blip xmlns:r="http://schemas.openxmlformats.org/officeDocument/2006/relationships" r:embed="rId1"/>
        <a:stretch>
          <a:fillRect/>
        </a:stretch>
      </xdr:blipFill>
      <xdr:spPr>
        <a:xfrm>
          <a:off x="790575" y="1581150"/>
          <a:ext cx="210878" cy="183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eg%20Graziani/Desktop/PreSales%20Work/CS%20Models%20-%20Website%20Models/OpEx%20Budgeting%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lobal%20Software%20Co%20-%20Month%20E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Department Variances"/>
      <sheetName val="Op Ex Var"/>
      <sheetName val="Steps"/>
      <sheetName val="OpEx Plan"/>
      <sheetName val="1. Headcount"/>
      <sheetName val="2. Sales &amp; Marketing"/>
      <sheetName val="3. T&amp;E"/>
      <sheetName val="Budget Drivers"/>
    </sheetNames>
    <sheetDataSet>
      <sheetData sheetId="0"/>
      <sheetData sheetId="1"/>
      <sheetData sheetId="2"/>
      <sheetData sheetId="3"/>
      <sheetData sheetId="4"/>
      <sheetData sheetId="5"/>
      <sheetData sheetId="6"/>
      <sheetData sheetId="7"/>
      <sheetData sheetId="8">
        <row r="11">
          <cell r="B11" t="str">
            <v>All Departments</v>
          </cell>
          <cell r="F11" t="str">
            <v>Open</v>
          </cell>
        </row>
        <row r="12">
          <cell r="B12" t="str">
            <v>Sales + Marketing</v>
          </cell>
          <cell r="F12" t="str">
            <v>In Progress</v>
          </cell>
        </row>
        <row r="13">
          <cell r="B13" t="str">
            <v>Marketing</v>
          </cell>
          <cell r="F13" t="str">
            <v>Submitted</v>
          </cell>
        </row>
        <row r="14">
          <cell r="B14" t="str">
            <v>Sales</v>
          </cell>
        </row>
        <row r="15">
          <cell r="B15" t="str">
            <v>Product &amp; Engineering</v>
          </cell>
          <cell r="K15" t="str">
            <v>Yes</v>
          </cell>
        </row>
        <row r="16">
          <cell r="B16" t="str">
            <v>Engineering</v>
          </cell>
          <cell r="K16" t="str">
            <v>No</v>
          </cell>
        </row>
        <row r="17">
          <cell r="B17" t="str">
            <v>Operations</v>
          </cell>
        </row>
        <row r="18">
          <cell r="B18" t="str">
            <v>Product Team</v>
          </cell>
        </row>
        <row r="19">
          <cell r="B19" t="str">
            <v>General &amp; Administrative</v>
          </cell>
        </row>
        <row r="20">
          <cell r="B20" t="str">
            <v>Accounting</v>
          </cell>
        </row>
        <row r="21">
          <cell r="B21" t="str">
            <v>Executive</v>
          </cell>
        </row>
        <row r="22">
          <cell r="B22" t="str">
            <v>Finance</v>
          </cell>
        </row>
        <row r="23">
          <cell r="B23" t="str">
            <v>HR</v>
          </cell>
        </row>
        <row r="24">
          <cell r="B24" t="str">
            <v>IT</v>
          </cell>
        </row>
        <row r="25">
          <cell r="B25" t="str">
            <v>Customer Success</v>
          </cell>
        </row>
        <row r="26">
          <cell r="B26" t="str">
            <v>Professional Services</v>
          </cell>
        </row>
        <row r="51">
          <cell r="B51" t="str">
            <v>Jan-20</v>
          </cell>
          <cell r="G51">
            <v>2021</v>
          </cell>
        </row>
        <row r="52">
          <cell r="B52" t="str">
            <v>Feb-20</v>
          </cell>
          <cell r="G52">
            <v>2022</v>
          </cell>
        </row>
        <row r="53">
          <cell r="B53" t="str">
            <v>Mar-20</v>
          </cell>
          <cell r="G53">
            <v>2023</v>
          </cell>
        </row>
        <row r="54">
          <cell r="B54" t="str">
            <v>Apr-20</v>
          </cell>
        </row>
        <row r="55">
          <cell r="B55" t="str">
            <v>May-20</v>
          </cell>
        </row>
        <row r="56">
          <cell r="B56" t="str">
            <v>Jun-20</v>
          </cell>
        </row>
        <row r="57">
          <cell r="B57" t="str">
            <v>Jul-20</v>
          </cell>
        </row>
        <row r="58">
          <cell r="B58" t="str">
            <v>Aug-20</v>
          </cell>
        </row>
        <row r="59">
          <cell r="B59" t="str">
            <v>Sep-20</v>
          </cell>
        </row>
        <row r="60">
          <cell r="B60" t="str">
            <v>Oct-20</v>
          </cell>
        </row>
        <row r="61">
          <cell r="B61" t="str">
            <v>Nov-20</v>
          </cell>
        </row>
        <row r="62">
          <cell r="B62" t="str">
            <v>Dec-20</v>
          </cell>
        </row>
        <row r="63">
          <cell r="B63" t="str">
            <v>Jan-21</v>
          </cell>
        </row>
        <row r="64">
          <cell r="B64" t="str">
            <v>Feb-21</v>
          </cell>
        </row>
        <row r="65">
          <cell r="B65" t="str">
            <v>Mar-21</v>
          </cell>
        </row>
        <row r="66">
          <cell r="B66" t="str">
            <v>Apr-21</v>
          </cell>
        </row>
        <row r="67">
          <cell r="B67" t="str">
            <v>May-21</v>
          </cell>
        </row>
        <row r="68">
          <cell r="B68" t="str">
            <v>Jun-21</v>
          </cell>
        </row>
        <row r="69">
          <cell r="B69" t="str">
            <v>Jul-21</v>
          </cell>
        </row>
        <row r="70">
          <cell r="B70" t="str">
            <v>Aug-21</v>
          </cell>
        </row>
        <row r="71">
          <cell r="B71" t="str">
            <v>Sep-21</v>
          </cell>
        </row>
        <row r="72">
          <cell r="B72" t="str">
            <v>Oct-21</v>
          </cell>
        </row>
        <row r="73">
          <cell r="B73" t="str">
            <v>Nov-21</v>
          </cell>
        </row>
        <row r="74">
          <cell r="B74" t="str">
            <v>Dec-21</v>
          </cell>
        </row>
        <row r="75">
          <cell r="B75" t="str">
            <v>Jan-22</v>
          </cell>
        </row>
        <row r="76">
          <cell r="B76" t="str">
            <v>Feb-22</v>
          </cell>
        </row>
        <row r="77">
          <cell r="B77" t="str">
            <v>Mar-22</v>
          </cell>
        </row>
        <row r="78">
          <cell r="B78" t="str">
            <v>Apr-22</v>
          </cell>
        </row>
        <row r="79">
          <cell r="B79" t="str">
            <v>May-22</v>
          </cell>
        </row>
        <row r="80">
          <cell r="B80" t="str">
            <v>Jun-22</v>
          </cell>
        </row>
        <row r="81">
          <cell r="B81" t="str">
            <v>Jul-22</v>
          </cell>
        </row>
        <row r="82">
          <cell r="B82" t="str">
            <v>Aug-22</v>
          </cell>
        </row>
        <row r="83">
          <cell r="B83" t="str">
            <v>Sep-22</v>
          </cell>
        </row>
        <row r="84">
          <cell r="B84" t="str">
            <v>Oct-22</v>
          </cell>
        </row>
        <row r="85">
          <cell r="B85" t="str">
            <v>Nov-22</v>
          </cell>
        </row>
        <row r="86">
          <cell r="B86" t="str">
            <v>Dec-22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Intro"/>
      <sheetName val="TOC"/>
      <sheetName val="P&amp;L - Var"/>
      <sheetName val="P&amp;L - Time"/>
      <sheetName val="BS CF - Time"/>
      <sheetName val="P&amp;L - Consol"/>
      <sheetName val="BS CF - Var"/>
      <sheetName val="Drivers"/>
      <sheetName val="Sheet3"/>
      <sheetName val="P&amp;L - Variance"/>
      <sheetName val="Sheet4"/>
      <sheetName val="Sheet1"/>
      <sheetName val="Sheet2"/>
      <sheetName val="P&amp;L - Var New"/>
    </sheetNames>
    <sheetDataSet>
      <sheetData sheetId="0"/>
      <sheetData sheetId="1"/>
      <sheetData sheetId="2"/>
      <sheetData sheetId="3"/>
      <sheetData sheetId="4"/>
      <sheetData sheetId="5"/>
      <sheetData sheetId="6"/>
      <sheetData sheetId="7"/>
      <sheetData sheetId="8">
        <row r="9">
          <cell r="A9" t="str">
            <v>All Departments</v>
          </cell>
          <cell r="E9" t="str">
            <v>Global Co</v>
          </cell>
          <cell r="L9" t="str">
            <v>Month</v>
          </cell>
        </row>
        <row r="10">
          <cell r="E10" t="str">
            <v>GCo US</v>
          </cell>
          <cell r="L10" t="str">
            <v>YTD</v>
          </cell>
        </row>
        <row r="11">
          <cell r="E11" t="str">
            <v>GCo UK</v>
          </cell>
          <cell r="L11" t="str">
            <v>Year</v>
          </cell>
        </row>
        <row r="12">
          <cell r="E12" t="str">
            <v>GCo Australia</v>
          </cell>
        </row>
      </sheetData>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person displayName="Greg  Graziani" id="{07F4C6FE-4B5A-40D0-AF99-EE42A7DCFAC8}" userId="S::greg.graziani@cubeplanninginc.onmicrosoft.com::126fdc3a-64cb-4a69-ab2e-dd0fab93251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2-06-17T20:49:45.06" personId="{07F4C6FE-4B5A-40D0-AF99-EE42A7DCFAC8}" id="{5BA6C855-744F-4B6A-A171-E5A116B14D51}">
    <text>Cube's cloud-based data engine will allow you to take this report and automate the population of its values. Cube connects to your organization's GL, and pulls in the current balances/activity for each account, aggregates and consolidates the values, and calculates ratios, formulas and KPI's for you. This will take the time spent maintaining this report from hours down to seconds.</text>
  </threadedComment>
</ThreadedComments>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C905DC70-6AA5-4199-8700-4508064F1110}">
  <we:reference id="wa200000513" version="1.0.0.0" store="en-US" storeType="OMEX"/>
  <we:alternateReferences>
    <we:reference id="WA200000513"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7DFE8-11FC-492A-A06F-EF6D3EF299EB}">
  <sheetPr>
    <tabColor rgb="FF61BFB9"/>
  </sheetPr>
  <dimension ref="B2:J52"/>
  <sheetViews>
    <sheetView workbookViewId="0">
      <selection activeCell="C34" sqref="C34:C36"/>
    </sheetView>
  </sheetViews>
  <sheetFormatPr defaultColWidth="11.28515625" defaultRowHeight="18.75" x14ac:dyDescent="0.3"/>
  <cols>
    <col min="1" max="1" width="3.5703125" style="25" customWidth="1"/>
    <col min="2" max="2" width="5.5703125" style="25" customWidth="1"/>
    <col min="3" max="3" width="23.42578125" style="25" customWidth="1"/>
    <col min="4" max="13" width="11.28515625" style="25"/>
    <col min="14" max="14" width="15.7109375" style="25" customWidth="1"/>
    <col min="15" max="16384" width="11.28515625" style="25"/>
  </cols>
  <sheetData>
    <row r="2" spans="2:10" ht="23.25" x14ac:dyDescent="0.35">
      <c r="B2" s="24" t="s">
        <v>187</v>
      </c>
    </row>
    <row r="3" spans="2:10" s="26" customFormat="1" ht="23.25" x14ac:dyDescent="0.35">
      <c r="B3" s="26" t="s">
        <v>189</v>
      </c>
    </row>
    <row r="6" spans="2:10" s="29" customFormat="1" ht="21" x14ac:dyDescent="0.35">
      <c r="B6" s="27" t="s">
        <v>67</v>
      </c>
      <c r="C6" s="27"/>
      <c r="D6" s="28"/>
      <c r="E6" s="28"/>
      <c r="F6" s="28"/>
      <c r="G6" s="28"/>
      <c r="H6" s="28"/>
      <c r="I6" s="28"/>
      <c r="J6" s="28"/>
    </row>
    <row r="7" spans="2:10" ht="7.15" customHeight="1" x14ac:dyDescent="0.3"/>
    <row r="8" spans="2:10" ht="16.149999999999999" customHeight="1" x14ac:dyDescent="0.3">
      <c r="C8" s="146" t="s">
        <v>199</v>
      </c>
      <c r="D8" s="147"/>
      <c r="E8" s="147"/>
      <c r="F8" s="147"/>
      <c r="G8" s="147"/>
      <c r="H8" s="147"/>
      <c r="I8" s="147"/>
      <c r="J8" s="148"/>
    </row>
    <row r="9" spans="2:10" x14ac:dyDescent="0.3">
      <c r="C9" s="146"/>
      <c r="D9" s="147"/>
      <c r="E9" s="147"/>
      <c r="F9" s="147"/>
      <c r="G9" s="147"/>
      <c r="H9" s="147"/>
      <c r="I9" s="147"/>
      <c r="J9" s="148"/>
    </row>
    <row r="10" spans="2:10" x14ac:dyDescent="0.3">
      <c r="C10" s="146"/>
      <c r="D10" s="147"/>
      <c r="E10" s="147"/>
      <c r="F10" s="147"/>
      <c r="G10" s="147"/>
      <c r="H10" s="147"/>
      <c r="I10" s="147"/>
      <c r="J10" s="148"/>
    </row>
    <row r="11" spans="2:10" x14ac:dyDescent="0.3">
      <c r="C11" s="146"/>
      <c r="D11" s="147"/>
      <c r="E11" s="147"/>
      <c r="F11" s="147"/>
      <c r="G11" s="147"/>
      <c r="H11" s="147"/>
      <c r="I11" s="147"/>
      <c r="J11" s="148"/>
    </row>
    <row r="12" spans="2:10" x14ac:dyDescent="0.3">
      <c r="C12" s="146"/>
      <c r="D12" s="147"/>
      <c r="E12" s="147"/>
      <c r="F12" s="147"/>
      <c r="G12" s="147"/>
      <c r="H12" s="147"/>
      <c r="I12" s="147"/>
      <c r="J12" s="148"/>
    </row>
    <row r="13" spans="2:10" x14ac:dyDescent="0.3">
      <c r="C13" s="146"/>
      <c r="D13" s="147"/>
      <c r="E13" s="147"/>
      <c r="F13" s="147"/>
      <c r="G13" s="147"/>
      <c r="H13" s="147"/>
      <c r="I13" s="147"/>
      <c r="J13" s="148"/>
    </row>
    <row r="14" spans="2:10" x14ac:dyDescent="0.3">
      <c r="C14" s="146"/>
      <c r="D14" s="147"/>
      <c r="E14" s="147"/>
      <c r="F14" s="147"/>
      <c r="G14" s="147"/>
      <c r="H14" s="147"/>
      <c r="I14" s="147"/>
      <c r="J14" s="148"/>
    </row>
    <row r="15" spans="2:10" x14ac:dyDescent="0.3">
      <c r="C15" s="146"/>
      <c r="D15" s="147"/>
      <c r="E15" s="147"/>
      <c r="F15" s="147"/>
      <c r="G15" s="147"/>
      <c r="H15" s="147"/>
      <c r="I15" s="147"/>
      <c r="J15" s="148"/>
    </row>
    <row r="16" spans="2:10" x14ac:dyDescent="0.3">
      <c r="C16" s="146"/>
      <c r="D16" s="147"/>
      <c r="E16" s="147"/>
      <c r="F16" s="147"/>
      <c r="G16" s="147"/>
      <c r="H16" s="147"/>
      <c r="I16" s="147"/>
      <c r="J16" s="148"/>
    </row>
    <row r="17" spans="2:10" x14ac:dyDescent="0.3">
      <c r="C17" s="146"/>
      <c r="D17" s="147"/>
      <c r="E17" s="147"/>
      <c r="F17" s="147"/>
      <c r="G17" s="147"/>
      <c r="H17" s="147"/>
      <c r="I17" s="147"/>
      <c r="J17" s="148"/>
    </row>
    <row r="18" spans="2:10" x14ac:dyDescent="0.3">
      <c r="C18" s="146"/>
      <c r="D18" s="147"/>
      <c r="E18" s="147"/>
      <c r="F18" s="147"/>
      <c r="G18" s="147"/>
      <c r="H18" s="147"/>
      <c r="I18" s="147"/>
      <c r="J18" s="148"/>
    </row>
    <row r="19" spans="2:10" x14ac:dyDescent="0.3">
      <c r="C19" s="146"/>
      <c r="D19" s="147"/>
      <c r="E19" s="147"/>
      <c r="F19" s="147"/>
      <c r="G19" s="147"/>
      <c r="H19" s="147"/>
      <c r="I19" s="147"/>
      <c r="J19" s="148"/>
    </row>
    <row r="20" spans="2:10" x14ac:dyDescent="0.3">
      <c r="C20" s="146"/>
      <c r="D20" s="147"/>
      <c r="E20" s="147"/>
      <c r="F20" s="147"/>
      <c r="G20" s="147"/>
      <c r="H20" s="147"/>
      <c r="I20" s="147"/>
      <c r="J20" s="148"/>
    </row>
    <row r="21" spans="2:10" x14ac:dyDescent="0.3">
      <c r="C21" s="146"/>
      <c r="D21" s="147"/>
      <c r="E21" s="147"/>
      <c r="F21" s="147"/>
      <c r="G21" s="147"/>
      <c r="H21" s="147"/>
      <c r="I21" s="147"/>
      <c r="J21" s="148"/>
    </row>
    <row r="22" spans="2:10" x14ac:dyDescent="0.3">
      <c r="C22" s="146"/>
      <c r="D22" s="147"/>
      <c r="E22" s="147"/>
      <c r="F22" s="147"/>
      <c r="G22" s="147"/>
      <c r="H22" s="147"/>
      <c r="I22" s="147"/>
      <c r="J22" s="148"/>
    </row>
    <row r="23" spans="2:10" x14ac:dyDescent="0.3">
      <c r="C23" s="146"/>
      <c r="D23" s="147"/>
      <c r="E23" s="147"/>
      <c r="F23" s="147"/>
      <c r="G23" s="147"/>
      <c r="H23" s="147"/>
      <c r="I23" s="147"/>
      <c r="J23" s="148"/>
    </row>
    <row r="24" spans="2:10" x14ac:dyDescent="0.3">
      <c r="C24" s="146"/>
      <c r="D24" s="147"/>
      <c r="E24" s="147"/>
      <c r="F24" s="147"/>
      <c r="G24" s="147"/>
      <c r="H24" s="147"/>
      <c r="I24" s="147"/>
      <c r="J24" s="148"/>
    </row>
    <row r="25" spans="2:10" x14ac:dyDescent="0.3">
      <c r="C25" s="149"/>
      <c r="D25" s="150"/>
      <c r="E25" s="150"/>
      <c r="F25" s="150"/>
      <c r="G25" s="150"/>
      <c r="H25" s="150"/>
      <c r="I25" s="150"/>
      <c r="J25" s="151"/>
    </row>
    <row r="27" spans="2:10" s="29" customFormat="1" ht="21" x14ac:dyDescent="0.35">
      <c r="B27" s="27" t="s">
        <v>56</v>
      </c>
      <c r="C27" s="27"/>
      <c r="D27" s="28"/>
      <c r="E27" s="28"/>
      <c r="F27" s="28"/>
      <c r="G27" s="28"/>
      <c r="H27" s="28"/>
      <c r="I27" s="28"/>
      <c r="J27" s="28"/>
    </row>
    <row r="28" spans="2:10" ht="18" customHeight="1" x14ac:dyDescent="0.3">
      <c r="C28" s="128" t="s">
        <v>168</v>
      </c>
      <c r="D28" s="130" t="s">
        <v>68</v>
      </c>
      <c r="E28" s="130" t="s">
        <v>196</v>
      </c>
      <c r="F28" s="130"/>
      <c r="G28" s="130"/>
      <c r="H28" s="130"/>
      <c r="I28" s="130"/>
      <c r="J28" s="132"/>
    </row>
    <row r="29" spans="2:10" x14ac:dyDescent="0.3">
      <c r="C29" s="128"/>
      <c r="D29" s="130"/>
      <c r="E29" s="130"/>
      <c r="F29" s="130"/>
      <c r="G29" s="130"/>
      <c r="H29" s="130"/>
      <c r="I29" s="130"/>
      <c r="J29" s="132"/>
    </row>
    <row r="30" spans="2:10" x14ac:dyDescent="0.3">
      <c r="C30" s="129"/>
      <c r="D30" s="131"/>
      <c r="E30" s="131"/>
      <c r="F30" s="131"/>
      <c r="G30" s="131"/>
      <c r="H30" s="131"/>
      <c r="I30" s="131"/>
      <c r="J30" s="133"/>
    </row>
    <row r="31" spans="2:10" x14ac:dyDescent="0.3">
      <c r="C31" s="128" t="s">
        <v>190</v>
      </c>
      <c r="D31" s="130" t="s">
        <v>69</v>
      </c>
      <c r="E31" s="130" t="s">
        <v>195</v>
      </c>
      <c r="F31" s="130"/>
      <c r="G31" s="130"/>
      <c r="H31" s="130"/>
      <c r="I31" s="130"/>
      <c r="J31" s="132"/>
    </row>
    <row r="32" spans="2:10" x14ac:dyDescent="0.3">
      <c r="C32" s="128"/>
      <c r="D32" s="130"/>
      <c r="E32" s="130"/>
      <c r="F32" s="130"/>
      <c r="G32" s="130"/>
      <c r="H32" s="130"/>
      <c r="I32" s="130"/>
      <c r="J32" s="132"/>
    </row>
    <row r="33" spans="2:10" x14ac:dyDescent="0.3">
      <c r="C33" s="129"/>
      <c r="D33" s="131"/>
      <c r="E33" s="131"/>
      <c r="F33" s="131"/>
      <c r="G33" s="131"/>
      <c r="H33" s="131"/>
      <c r="I33" s="131"/>
      <c r="J33" s="133"/>
    </row>
    <row r="34" spans="2:10" ht="18" customHeight="1" x14ac:dyDescent="0.3">
      <c r="C34" s="128" t="s">
        <v>191</v>
      </c>
      <c r="D34" s="130" t="s">
        <v>70</v>
      </c>
      <c r="E34" s="130" t="s">
        <v>193</v>
      </c>
      <c r="F34" s="130"/>
      <c r="G34" s="130"/>
      <c r="H34" s="130"/>
      <c r="I34" s="130"/>
      <c r="J34" s="132"/>
    </row>
    <row r="35" spans="2:10" x14ac:dyDescent="0.3">
      <c r="C35" s="128"/>
      <c r="D35" s="130"/>
      <c r="E35" s="130"/>
      <c r="F35" s="130"/>
      <c r="G35" s="130"/>
      <c r="H35" s="130"/>
      <c r="I35" s="130"/>
      <c r="J35" s="132"/>
    </row>
    <row r="36" spans="2:10" x14ac:dyDescent="0.3">
      <c r="C36" s="129"/>
      <c r="D36" s="131"/>
      <c r="E36" s="131"/>
      <c r="F36" s="131"/>
      <c r="G36" s="131"/>
      <c r="H36" s="131"/>
      <c r="I36" s="131"/>
      <c r="J36" s="133"/>
    </row>
    <row r="37" spans="2:10" ht="18" customHeight="1" x14ac:dyDescent="0.3">
      <c r="C37" s="128" t="s">
        <v>192</v>
      </c>
      <c r="D37" s="130" t="s">
        <v>198</v>
      </c>
      <c r="E37" s="130" t="s">
        <v>194</v>
      </c>
      <c r="F37" s="130"/>
      <c r="G37" s="130"/>
      <c r="H37" s="130"/>
      <c r="I37" s="130"/>
      <c r="J37" s="132"/>
    </row>
    <row r="38" spans="2:10" x14ac:dyDescent="0.3">
      <c r="C38" s="128"/>
      <c r="D38" s="130"/>
      <c r="E38" s="130"/>
      <c r="F38" s="130"/>
      <c r="G38" s="130"/>
      <c r="H38" s="130"/>
      <c r="I38" s="130"/>
      <c r="J38" s="132"/>
    </row>
    <row r="39" spans="2:10" x14ac:dyDescent="0.3">
      <c r="C39" s="129"/>
      <c r="D39" s="131"/>
      <c r="E39" s="131"/>
      <c r="F39" s="131"/>
      <c r="G39" s="131"/>
      <c r="H39" s="131"/>
      <c r="I39" s="131"/>
      <c r="J39" s="133"/>
    </row>
    <row r="40" spans="2:10" ht="7.15" customHeight="1" x14ac:dyDescent="0.3">
      <c r="C40" s="33"/>
      <c r="D40" s="34"/>
      <c r="E40" s="34"/>
      <c r="F40" s="34"/>
      <c r="G40" s="34"/>
      <c r="H40" s="34"/>
      <c r="I40" s="34"/>
      <c r="J40" s="35"/>
    </row>
    <row r="42" spans="2:10" s="29" customFormat="1" ht="21" x14ac:dyDescent="0.35">
      <c r="B42" s="27" t="s">
        <v>57</v>
      </c>
      <c r="C42" s="27"/>
      <c r="D42" s="28"/>
      <c r="E42" s="28"/>
      <c r="F42" s="28"/>
      <c r="G42" s="28"/>
      <c r="H42" s="28"/>
      <c r="I42" s="28"/>
      <c r="J42" s="28"/>
    </row>
    <row r="43" spans="2:10" ht="7.15" customHeight="1" x14ac:dyDescent="0.3">
      <c r="C43" s="30"/>
      <c r="D43" s="31"/>
      <c r="E43" s="31"/>
      <c r="F43" s="31"/>
      <c r="G43" s="31"/>
      <c r="H43" s="31"/>
      <c r="I43" s="31"/>
      <c r="J43" s="32"/>
    </row>
    <row r="44" spans="2:10" s="36" customFormat="1" ht="16.149999999999999" customHeight="1" x14ac:dyDescent="0.25">
      <c r="C44" s="134" t="s">
        <v>58</v>
      </c>
      <c r="D44" s="144" t="s">
        <v>59</v>
      </c>
      <c r="E44" s="138" t="s">
        <v>71</v>
      </c>
      <c r="F44" s="138"/>
      <c r="G44" s="138"/>
      <c r="H44" s="138"/>
      <c r="I44" s="138"/>
      <c r="J44" s="139"/>
    </row>
    <row r="45" spans="2:10" s="36" customFormat="1" x14ac:dyDescent="0.25">
      <c r="C45" s="135"/>
      <c r="D45" s="145"/>
      <c r="E45" s="140"/>
      <c r="F45" s="140"/>
      <c r="G45" s="140"/>
      <c r="H45" s="140"/>
      <c r="I45" s="140"/>
      <c r="J45" s="141"/>
    </row>
    <row r="46" spans="2:10" s="36" customFormat="1" x14ac:dyDescent="0.25">
      <c r="C46" s="37"/>
      <c r="D46" s="38"/>
      <c r="E46" s="38"/>
      <c r="F46" s="38"/>
      <c r="G46" s="38"/>
      <c r="H46" s="38"/>
      <c r="I46" s="38"/>
      <c r="J46" s="39"/>
    </row>
    <row r="47" spans="2:10" s="36" customFormat="1" x14ac:dyDescent="0.25">
      <c r="C47" s="134" t="s">
        <v>60</v>
      </c>
      <c r="D47" s="136" t="s">
        <v>59</v>
      </c>
      <c r="E47" s="138" t="s">
        <v>61</v>
      </c>
      <c r="F47" s="138"/>
      <c r="G47" s="138"/>
      <c r="H47" s="138"/>
      <c r="I47" s="138"/>
      <c r="J47" s="139"/>
    </row>
    <row r="48" spans="2:10" s="36" customFormat="1" x14ac:dyDescent="0.25">
      <c r="C48" s="135"/>
      <c r="D48" s="137"/>
      <c r="E48" s="140"/>
      <c r="F48" s="140"/>
      <c r="G48" s="140"/>
      <c r="H48" s="140"/>
      <c r="I48" s="140"/>
      <c r="J48" s="141"/>
    </row>
    <row r="49" spans="3:10" s="36" customFormat="1" x14ac:dyDescent="0.25">
      <c r="C49" s="37"/>
      <c r="D49" s="38"/>
      <c r="E49" s="38"/>
      <c r="F49" s="38"/>
      <c r="G49" s="38"/>
      <c r="H49" s="38"/>
      <c r="I49" s="38"/>
      <c r="J49" s="39"/>
    </row>
    <row r="50" spans="3:10" s="36" customFormat="1" x14ac:dyDescent="0.25">
      <c r="C50" s="134" t="s">
        <v>62</v>
      </c>
      <c r="D50" s="142" t="s">
        <v>59</v>
      </c>
      <c r="E50" s="138" t="s">
        <v>72</v>
      </c>
      <c r="F50" s="138"/>
      <c r="G50" s="138"/>
      <c r="H50" s="138"/>
      <c r="I50" s="138"/>
      <c r="J50" s="139"/>
    </row>
    <row r="51" spans="3:10" s="36" customFormat="1" x14ac:dyDescent="0.25">
      <c r="C51" s="135"/>
      <c r="D51" s="143"/>
      <c r="E51" s="140"/>
      <c r="F51" s="140"/>
      <c r="G51" s="140"/>
      <c r="H51" s="140"/>
      <c r="I51" s="140"/>
      <c r="J51" s="141"/>
    </row>
    <row r="52" spans="3:10" ht="7.15" customHeight="1" x14ac:dyDescent="0.3">
      <c r="C52" s="33"/>
      <c r="D52" s="34"/>
      <c r="E52" s="34"/>
      <c r="F52" s="34"/>
      <c r="G52" s="34"/>
      <c r="H52" s="34"/>
      <c r="I52" s="34"/>
      <c r="J52" s="35"/>
    </row>
  </sheetData>
  <mergeCells count="22">
    <mergeCell ref="C8:J25"/>
    <mergeCell ref="C28:C30"/>
    <mergeCell ref="D28:D30"/>
    <mergeCell ref="E28:J30"/>
    <mergeCell ref="C37:C39"/>
    <mergeCell ref="D37:D39"/>
    <mergeCell ref="E37:J39"/>
    <mergeCell ref="C44:C45"/>
    <mergeCell ref="D44:D45"/>
    <mergeCell ref="E44:J45"/>
    <mergeCell ref="C47:C48"/>
    <mergeCell ref="D47:D48"/>
    <mergeCell ref="E47:J48"/>
    <mergeCell ref="C50:C51"/>
    <mergeCell ref="D50:D51"/>
    <mergeCell ref="E50:J51"/>
    <mergeCell ref="C34:C36"/>
    <mergeCell ref="D34:D36"/>
    <mergeCell ref="E34:J36"/>
    <mergeCell ref="C31:C33"/>
    <mergeCell ref="D31:D33"/>
    <mergeCell ref="E31:J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2C795-F048-43E7-9905-90098383C9EB}">
  <sheetPr>
    <tabColor rgb="FF0000FF"/>
    <pageSetUpPr fitToPage="1"/>
  </sheetPr>
  <dimension ref="A1:BI90"/>
  <sheetViews>
    <sheetView showGridLines="0" tabSelected="1" zoomScaleNormal="100" zoomScaleSheetLayoutView="100" zoomScalePageLayoutView="80" workbookViewId="0">
      <selection activeCell="H4" sqref="H4"/>
    </sheetView>
  </sheetViews>
  <sheetFormatPr defaultColWidth="8.85546875" defaultRowHeight="15" x14ac:dyDescent="0.25"/>
  <cols>
    <col min="1" max="1" width="4.42578125" style="10" customWidth="1"/>
    <col min="2" max="2" width="3.28515625" customWidth="1"/>
    <col min="3" max="3" width="34" bestFit="1" customWidth="1"/>
    <col min="4" max="4" width="13.42578125" customWidth="1"/>
    <col min="5" max="5" width="13" customWidth="1"/>
    <col min="6" max="7" width="13.5703125" customWidth="1"/>
    <col min="8" max="8" width="13.85546875" customWidth="1"/>
    <col min="9" max="9" width="12.85546875" customWidth="1"/>
    <col min="10" max="15" width="13.140625" customWidth="1"/>
  </cols>
  <sheetData>
    <row r="1" spans="1:61" s="17" customFormat="1" ht="29.25" customHeight="1" x14ac:dyDescent="0.25">
      <c r="A1" s="40"/>
      <c r="B1" s="40" t="s">
        <v>169</v>
      </c>
      <c r="C1" s="23"/>
      <c r="D1" s="22"/>
      <c r="E1" s="22"/>
      <c r="F1" s="22"/>
      <c r="G1" s="22"/>
      <c r="H1" s="22"/>
      <c r="I1" s="22"/>
      <c r="J1" s="22"/>
      <c r="K1" s="22"/>
      <c r="L1" s="22"/>
      <c r="M1" s="22"/>
      <c r="N1" s="22"/>
      <c r="O1" s="22"/>
      <c r="P1" s="22"/>
      <c r="Q1" s="22"/>
      <c r="R1" s="73"/>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row>
    <row r="2" spans="1:61" s="3" customFormat="1" x14ac:dyDescent="0.25">
      <c r="D2" s="88"/>
      <c r="E2" s="88"/>
      <c r="F2" s="88"/>
      <c r="G2" s="88"/>
      <c r="H2" s="88"/>
      <c r="I2" s="88"/>
      <c r="J2" s="88"/>
      <c r="K2" s="88"/>
      <c r="L2" s="88"/>
      <c r="M2" s="88"/>
      <c r="N2" s="88"/>
      <c r="O2" s="88"/>
    </row>
    <row r="3" spans="1:61" ht="15.75" x14ac:dyDescent="0.25">
      <c r="A3"/>
      <c r="C3" s="46" t="s">
        <v>64</v>
      </c>
      <c r="D3" s="42" t="s">
        <v>65</v>
      </c>
      <c r="P3" s="74"/>
    </row>
    <row r="4" spans="1:61" ht="15.75" x14ac:dyDescent="0.25">
      <c r="A4"/>
      <c r="C4" s="46" t="s">
        <v>108</v>
      </c>
      <c r="D4" s="42" t="s">
        <v>65</v>
      </c>
      <c r="P4" s="74"/>
    </row>
    <row r="5" spans="1:61" ht="15.75" x14ac:dyDescent="0.25">
      <c r="A5"/>
      <c r="C5" s="46" t="s">
        <v>73</v>
      </c>
      <c r="D5" s="42" t="s">
        <v>65</v>
      </c>
      <c r="P5" s="74"/>
    </row>
    <row r="6" spans="1:61" ht="15.75" x14ac:dyDescent="0.25">
      <c r="C6" s="46" t="s">
        <v>25</v>
      </c>
      <c r="D6" s="42" t="s">
        <v>46</v>
      </c>
      <c r="E6" s="89"/>
      <c r="P6" s="74"/>
    </row>
    <row r="7" spans="1:61" s="2" customFormat="1" ht="15.75" x14ac:dyDescent="0.25">
      <c r="A7" s="13"/>
      <c r="B7" s="4"/>
      <c r="C7" s="6"/>
      <c r="D7" s="44"/>
      <c r="F7" s="6"/>
      <c r="T7"/>
    </row>
    <row r="8" spans="1:61" s="2" customFormat="1" ht="15.75" x14ac:dyDescent="0.25">
      <c r="A8" s="13"/>
      <c r="B8" s="4"/>
      <c r="C8" s="127" t="s">
        <v>197</v>
      </c>
      <c r="T8"/>
    </row>
    <row r="9" spans="1:61" s="5" customFormat="1" x14ac:dyDescent="0.25">
      <c r="A9" s="90"/>
      <c r="B9" s="93"/>
      <c r="C9" s="94"/>
      <c r="D9" s="56" t="str">
        <f>$D$6</f>
        <v>Forecast 6+6</v>
      </c>
      <c r="E9" s="56" t="str">
        <f t="shared" ref="E9:O9" si="0">$D$6</f>
        <v>Forecast 6+6</v>
      </c>
      <c r="F9" s="56" t="str">
        <f t="shared" si="0"/>
        <v>Forecast 6+6</v>
      </c>
      <c r="G9" s="56" t="str">
        <f t="shared" si="0"/>
        <v>Forecast 6+6</v>
      </c>
      <c r="H9" s="56" t="str">
        <f t="shared" si="0"/>
        <v>Forecast 6+6</v>
      </c>
      <c r="I9" s="56" t="str">
        <f t="shared" si="0"/>
        <v>Forecast 6+6</v>
      </c>
      <c r="J9" s="56" t="str">
        <f t="shared" si="0"/>
        <v>Forecast 6+6</v>
      </c>
      <c r="K9" s="56" t="str">
        <f t="shared" si="0"/>
        <v>Forecast 6+6</v>
      </c>
      <c r="L9" s="56" t="str">
        <f t="shared" si="0"/>
        <v>Forecast 6+6</v>
      </c>
      <c r="M9" s="56" t="str">
        <f t="shared" si="0"/>
        <v>Forecast 6+6</v>
      </c>
      <c r="N9" s="56" t="str">
        <f t="shared" si="0"/>
        <v>Forecast 6+6</v>
      </c>
      <c r="O9" s="56" t="str">
        <f t="shared" si="0"/>
        <v>Forecast 6+6</v>
      </c>
      <c r="P9" s="92"/>
      <c r="T9"/>
    </row>
    <row r="10" spans="1:61" x14ac:dyDescent="0.25">
      <c r="A10" s="9"/>
      <c r="B10" s="7"/>
      <c r="C10" s="9"/>
      <c r="D10" s="56">
        <v>44592</v>
      </c>
      <c r="E10" s="56">
        <v>44620</v>
      </c>
      <c r="F10" s="56">
        <v>44651</v>
      </c>
      <c r="G10" s="56">
        <v>44681</v>
      </c>
      <c r="H10" s="56">
        <v>44712</v>
      </c>
      <c r="I10" s="56">
        <v>44742</v>
      </c>
      <c r="J10" s="56">
        <v>44773</v>
      </c>
      <c r="K10" s="56">
        <v>44804</v>
      </c>
      <c r="L10" s="56">
        <v>44834</v>
      </c>
      <c r="M10" s="56">
        <v>44865</v>
      </c>
      <c r="N10" s="56">
        <v>44895</v>
      </c>
      <c r="O10" s="56">
        <v>44926</v>
      </c>
      <c r="P10" s="3"/>
    </row>
    <row r="11" spans="1:61" s="14" customFormat="1" x14ac:dyDescent="0.25">
      <c r="A11" s="90"/>
      <c r="B11" s="93"/>
      <c r="C11" s="95"/>
      <c r="D11" s="93"/>
      <c r="E11" s="93"/>
      <c r="F11" s="93"/>
      <c r="G11" s="93"/>
      <c r="H11" s="93"/>
      <c r="I11" s="93"/>
      <c r="J11" s="93"/>
      <c r="K11" s="93"/>
      <c r="L11" s="93"/>
      <c r="M11" s="93"/>
      <c r="N11" s="93"/>
      <c r="O11" s="93"/>
      <c r="P11" s="90"/>
      <c r="T11"/>
    </row>
    <row r="12" spans="1:61" s="15" customFormat="1" x14ac:dyDescent="0.25">
      <c r="A12" s="91"/>
      <c r="B12" s="96"/>
      <c r="C12" s="97" t="s">
        <v>170</v>
      </c>
      <c r="D12" s="98"/>
      <c r="E12" s="98"/>
      <c r="F12" s="98"/>
      <c r="G12" s="98"/>
      <c r="H12" s="98"/>
      <c r="I12" s="98"/>
      <c r="J12" s="98"/>
      <c r="K12" s="98"/>
      <c r="L12" s="98"/>
      <c r="M12" s="98"/>
      <c r="N12" s="98"/>
      <c r="O12" s="98"/>
      <c r="P12" s="7"/>
      <c r="T12"/>
    </row>
    <row r="13" spans="1:61" s="15" customFormat="1" ht="15" customHeight="1" x14ac:dyDescent="0.25">
      <c r="A13" s="7"/>
      <c r="B13" s="99"/>
      <c r="C13" s="69" t="s">
        <v>179</v>
      </c>
      <c r="D13" s="120">
        <f>'P&amp;L'!F73</f>
        <v>186808.41583333304</v>
      </c>
      <c r="E13" s="120">
        <f>'P&amp;L'!G73</f>
        <v>223071.53194166673</v>
      </c>
      <c r="F13" s="120">
        <f>'P&amp;L'!H73</f>
        <v>21372.236130083445</v>
      </c>
      <c r="G13" s="120">
        <f>'P&amp;L'!I73</f>
        <v>125544.50105776382</v>
      </c>
      <c r="H13" s="120">
        <f>'P&amp;L'!J73</f>
        <v>75955.45837521879</v>
      </c>
      <c r="I13" s="120">
        <f>'P&amp;L'!K73</f>
        <v>130091.43447097368</v>
      </c>
      <c r="J13" s="120">
        <f>'P&amp;L'!L73</f>
        <v>107893.96383256628</v>
      </c>
      <c r="K13" s="120">
        <f>'P&amp;L'!M73</f>
        <v>212820.55119760544</v>
      </c>
      <c r="L13" s="120">
        <f>'P&amp;L'!N73</f>
        <v>369493.26551653305</v>
      </c>
      <c r="M13" s="120">
        <f>'P&amp;L'!O73</f>
        <v>430235.97603409691</v>
      </c>
      <c r="N13" s="120">
        <f>'P&amp;L'!P73</f>
        <v>627132.40379443858</v>
      </c>
      <c r="O13" s="120">
        <f>'P&amp;L'!Q73</f>
        <v>758502.45343238255</v>
      </c>
      <c r="P13" s="7"/>
      <c r="T13"/>
    </row>
    <row r="14" spans="1:61" s="15" customFormat="1" ht="15" customHeight="1" x14ac:dyDescent="0.25">
      <c r="A14" s="7"/>
      <c r="B14" s="99"/>
      <c r="C14" s="69" t="s">
        <v>171</v>
      </c>
      <c r="D14" s="112"/>
      <c r="E14" s="112"/>
      <c r="F14" s="112"/>
      <c r="G14" s="112"/>
      <c r="H14" s="112"/>
      <c r="I14" s="112"/>
      <c r="J14" s="112"/>
      <c r="K14" s="112"/>
      <c r="L14" s="112"/>
      <c r="M14" s="112"/>
      <c r="N14" s="112"/>
      <c r="O14" s="112"/>
      <c r="P14" s="7"/>
      <c r="T14"/>
    </row>
    <row r="15" spans="1:61" s="15" customFormat="1" ht="15" customHeight="1" x14ac:dyDescent="0.25">
      <c r="A15" s="7"/>
      <c r="B15" s="99"/>
      <c r="C15" s="117" t="s">
        <v>185</v>
      </c>
      <c r="D15" s="120">
        <f>'Balance Sheet'!D14-'Balance Sheet'!F14</f>
        <v>81490.585599999875</v>
      </c>
      <c r="E15" s="120">
        <f>'Balance Sheet'!F14-'Balance Sheet'!G14</f>
        <v>359373.4824959999</v>
      </c>
      <c r="F15" s="120">
        <f>'Balance Sheet'!G14-'Balance Sheet'!H14</f>
        <v>327029.86907135975</v>
      </c>
      <c r="G15" s="120">
        <f>'Balance Sheet'!H14-'Balance Sheet'!I14</f>
        <v>297597.18085493753</v>
      </c>
      <c r="H15" s="120">
        <f>'Balance Sheet'!I14-'Balance Sheet'!J14</f>
        <v>-601807.63239554036</v>
      </c>
      <c r="I15" s="120">
        <f>'Balance Sheet'!J14-'Balance Sheet'!K14</f>
        <v>-722169.15887464862</v>
      </c>
      <c r="J15" s="120">
        <f>'Balance Sheet'!K14-'Balance Sheet'!L14</f>
        <v>-43330.149532479234</v>
      </c>
      <c r="K15" s="120">
        <f>'Balance Sheet'!L14-'Balance Sheet'!M14</f>
        <v>87526.902055607177</v>
      </c>
      <c r="L15" s="120">
        <f>'Balance Sheet'!M14-'Balance Sheet'!N14</f>
        <v>214440.91003623838</v>
      </c>
      <c r="M15" s="120">
        <f>'Balance Sheet'!N14-'Balance Sheet'!O14</f>
        <v>488925.27488262299</v>
      </c>
      <c r="N15" s="120">
        <f>'Balance Sheet'!O14-'Balance Sheet'!P14</f>
        <v>-489077.26419409737</v>
      </c>
      <c r="O15" s="120">
        <f>'Balance Sheet'!P14-'Balance Sheet'!Q14</f>
        <v>-40745.292799999937</v>
      </c>
      <c r="P15" s="7"/>
      <c r="T15"/>
    </row>
    <row r="16" spans="1:61" s="15" customFormat="1" ht="15" customHeight="1" x14ac:dyDescent="0.25">
      <c r="A16" s="7"/>
      <c r="B16" s="99"/>
      <c r="C16" s="117" t="s">
        <v>75</v>
      </c>
      <c r="D16" s="120">
        <f>'Balance Sheet'!D16-'Balance Sheet'!F16</f>
        <v>1974.9000000000087</v>
      </c>
      <c r="E16" s="120">
        <f>'Balance Sheet'!F16-'Balance Sheet'!G16</f>
        <v>1935.4020000000019</v>
      </c>
      <c r="F16" s="120">
        <f>'Balance Sheet'!G16-'Balance Sheet'!H16</f>
        <v>948.34698000000208</v>
      </c>
      <c r="G16" s="120">
        <f>'Balance Sheet'!H16-'Balance Sheet'!I16</f>
        <v>1877.7270203999942</v>
      </c>
      <c r="H16" s="120">
        <f>'Balance Sheet'!I16-'Balance Sheet'!J16</f>
        <v>-920.0862399960024</v>
      </c>
      <c r="I16" s="120">
        <f>'Balance Sheet'!J16-'Balance Sheet'!K16</f>
        <v>-1858.5742047919193</v>
      </c>
      <c r="J16" s="120">
        <f>'Balance Sheet'!K16-'Balance Sheet'!L16</f>
        <v>-2843.6185333316389</v>
      </c>
      <c r="K16" s="120">
        <f>'Balance Sheet'!L16-'Balance Sheet'!M16</f>
        <v>-976.30902977719961</v>
      </c>
      <c r="L16" s="120">
        <f>'Balance Sheet'!M16-'Balance Sheet'!N16</f>
        <v>8776.0418686672056</v>
      </c>
      <c r="M16" s="120">
        <f>'Balance Sheet'!N16-'Balance Sheet'!O16</f>
        <v>5839.0260590239195</v>
      </c>
      <c r="N16" s="120">
        <f>'Balance Sheet'!O16-'Balance Sheet'!P16</f>
        <v>-8399.214407980573</v>
      </c>
      <c r="O16" s="120">
        <f>'Balance Sheet'!P16-'Balance Sheet'!Q16</f>
        <v>923.91358487786783</v>
      </c>
      <c r="P16" s="7"/>
      <c r="T16"/>
    </row>
    <row r="17" spans="1:20" s="15" customFormat="1" ht="15" customHeight="1" x14ac:dyDescent="0.25">
      <c r="A17" s="7"/>
      <c r="B17" s="99"/>
      <c r="C17" s="117" t="s">
        <v>186</v>
      </c>
      <c r="D17" s="120">
        <f>(SUM('Balance Sheet'!D15,'Balance Sheet'!D17)-SUM('Balance Sheet'!F15,'Balance Sheet'!F17))</f>
        <v>11250</v>
      </c>
      <c r="E17" s="120">
        <f>(SUM('Balance Sheet'!F15,'Balance Sheet'!F17)-SUM('Balance Sheet'!G15,'Balance Sheet'!G17))</f>
        <v>11025</v>
      </c>
      <c r="F17" s="120">
        <f>(SUM('Balance Sheet'!G15,'Balance Sheet'!G17)-SUM('Balance Sheet'!H15,'Balance Sheet'!H17))</f>
        <v>5402.25</v>
      </c>
      <c r="G17" s="120">
        <f>(SUM('Balance Sheet'!H15,'Balance Sheet'!H17)-SUM('Balance Sheet'!I15,'Balance Sheet'!I17))</f>
        <v>10696.455000000016</v>
      </c>
      <c r="H17" s="120">
        <f>(SUM('Balance Sheet'!I15,'Balance Sheet'!I17)-SUM('Balance Sheet'!J15,'Balance Sheet'!J17))</f>
        <v>-5241.2629500000621</v>
      </c>
      <c r="I17" s="120">
        <f>(SUM('Balance Sheet'!J15,'Balance Sheet'!J17)-SUM('Balance Sheet'!K15,'Balance Sheet'!K17))</f>
        <v>-10587.351158999954</v>
      </c>
      <c r="J17" s="120">
        <f>(SUM('Balance Sheet'!K15,'Balance Sheet'!K17)-SUM('Balance Sheet'!L15,'Balance Sheet'!L17))</f>
        <v>-16198.647273270064</v>
      </c>
      <c r="K17" s="120">
        <f>(SUM('Balance Sheet'!L15,'Balance Sheet'!L17)-SUM('Balance Sheet'!M15,'Balance Sheet'!M17))</f>
        <v>-5561.5355638226029</v>
      </c>
      <c r="L17" s="120">
        <f>(SUM('Balance Sheet'!M15,'Balance Sheet'!M17)-SUM('Balance Sheet'!N15,'Balance Sheet'!N17))</f>
        <v>49992.643183202192</v>
      </c>
      <c r="M17" s="120">
        <f>(SUM('Balance Sheet'!N15,'Balance Sheet'!N17)-SUM('Balance Sheet'!O15,'Balance Sheet'!O17))</f>
        <v>33261.959169587877</v>
      </c>
      <c r="N17" s="120">
        <f>(SUM('Balance Sheet'!O15,'Balance Sheet'!O17)-SUM('Balance Sheet'!P15,'Balance Sheet'!P17))</f>
        <v>-47846.048959330306</v>
      </c>
      <c r="O17" s="120">
        <f>(SUM('Balance Sheet'!P15,'Balance Sheet'!P17)-SUM('Balance Sheet'!Q15,'Balance Sheet'!Q17))</f>
        <v>5263.0653855263372</v>
      </c>
      <c r="P17" s="7"/>
      <c r="T17"/>
    </row>
    <row r="18" spans="1:20" s="15" customFormat="1" ht="15.75" customHeight="1" x14ac:dyDescent="0.25">
      <c r="A18" s="7"/>
      <c r="B18" s="99"/>
      <c r="C18" s="69" t="s">
        <v>172</v>
      </c>
      <c r="D18" s="120"/>
      <c r="E18" s="120"/>
      <c r="F18" s="120"/>
      <c r="G18" s="120"/>
      <c r="H18" s="120"/>
      <c r="I18" s="120"/>
      <c r="J18" s="120"/>
      <c r="K18" s="120"/>
      <c r="L18" s="120"/>
      <c r="M18" s="120"/>
      <c r="N18" s="120"/>
      <c r="O18" s="120"/>
      <c r="P18" s="7"/>
      <c r="T18"/>
    </row>
    <row r="19" spans="1:20" s="15" customFormat="1" ht="15" customHeight="1" x14ac:dyDescent="0.25">
      <c r="A19" s="7"/>
      <c r="B19" s="99"/>
      <c r="C19" s="117" t="s">
        <v>76</v>
      </c>
      <c r="D19" s="120">
        <f>'Balance Sheet'!F27-'Balance Sheet'!D27</f>
        <v>-42065.772000000114</v>
      </c>
      <c r="E19" s="120">
        <f>'Balance Sheet'!G27-'Balance Sheet'!F27</f>
        <v>-41224.456560000079</v>
      </c>
      <c r="F19" s="120">
        <f>'Balance Sheet'!H27-'Balance Sheet'!G27</f>
        <v>-20199.983714400092</v>
      </c>
      <c r="G19" s="120">
        <f>'Balance Sheet'!I27-'Balance Sheet'!H27</f>
        <v>-39995.967754512094</v>
      </c>
      <c r="H19" s="120">
        <f>'Balance Sheet'!J27-'Balance Sheet'!I27</f>
        <v>19598.024199710926</v>
      </c>
      <c r="I19" s="120">
        <f>'Balance Sheet'!K27-'Balance Sheet'!J27</f>
        <v>39588.008883415954</v>
      </c>
      <c r="J19" s="120">
        <f>'Balance Sheet'!L27-'Balance Sheet'!K27</f>
        <v>60569.653591626557</v>
      </c>
      <c r="K19" s="120">
        <f>'Balance Sheet'!M27-'Balance Sheet'!L27</f>
        <v>20795.581066458486</v>
      </c>
      <c r="L19" s="120">
        <f>'Balance Sheet'!N27-'Balance Sheet'!M27</f>
        <v>-186931.47820639471</v>
      </c>
      <c r="M19" s="120">
        <f>'Balance Sheet'!O27-'Balance Sheet'!N27</f>
        <v>-24372.443617885001</v>
      </c>
      <c r="N19" s="120">
        <f>'Balance Sheet'!P27-'Balance Sheet'!O27</f>
        <v>188904.97658880218</v>
      </c>
      <c r="O19" s="120">
        <f>'Balance Sheet'!Q27-'Balance Sheet'!P27</f>
        <v>-20779.547424768331</v>
      </c>
      <c r="P19" s="7"/>
      <c r="T19"/>
    </row>
    <row r="20" spans="1:20" s="15" customFormat="1" ht="15" customHeight="1" x14ac:dyDescent="0.25">
      <c r="A20" s="7"/>
      <c r="B20" s="99"/>
      <c r="C20" s="117" t="s">
        <v>106</v>
      </c>
      <c r="D20" s="120">
        <f>(SUM('Balance Sheet'!F28:F33)-SUM('Balance Sheet'!D28:D33))</f>
        <v>-170200.20000000019</v>
      </c>
      <c r="E20" s="120">
        <f>(SUM('Balance Sheet'!G28:G33)-SUM('Balance Sheet'!F28:F33))</f>
        <v>4954.5210000001825</v>
      </c>
      <c r="F20" s="120">
        <f>(SUM('Balance Sheet'!H28:H33)-SUM('Balance Sheet'!G28:G33))</f>
        <v>-443.65983000025153</v>
      </c>
      <c r="G20" s="120">
        <f>(SUM('Balance Sheet'!I28:I33)-SUM('Balance Sheet'!H28:H33))</f>
        <v>-45272.447564099915</v>
      </c>
      <c r="H20" s="120">
        <f>(SUM('Balance Sheet'!J28:J33)-SUM('Balance Sheet'!I28:I33))</f>
        <v>-100.11926750699058</v>
      </c>
      <c r="I20" s="120">
        <f>(SUM('Balance Sheet'!K28:K33)-SUM('Balance Sheet'!J28:J33))</f>
        <v>-329691.11618269142</v>
      </c>
      <c r="J20" s="120">
        <f>(SUM('Balance Sheet'!L28:L33)-SUM('Balance Sheet'!K28:K33))</f>
        <v>-7961.4342614705674</v>
      </c>
      <c r="K20" s="120">
        <f>(SUM('Balance Sheet'!M28:M33)-SUM('Balance Sheet'!L28:L33))</f>
        <v>-48075.229178565089</v>
      </c>
      <c r="L20" s="120">
        <f>(SUM('Balance Sheet'!N28:N33)-SUM('Balance Sheet'!M28:M33))</f>
        <v>430005.32936263178</v>
      </c>
      <c r="M20" s="120">
        <f>(SUM('Balance Sheet'!O28:O33)-SUM('Balance Sheet'!N28:N33))</f>
        <v>11294.358922688756</v>
      </c>
      <c r="N20" s="120">
        <f>(SUM('Balance Sheet'!P28:P33)-SUM('Balance Sheet'!O28:O33))</f>
        <v>-211309.73031089595</v>
      </c>
      <c r="O20" s="120">
        <f>(SUM('Balance Sheet'!Q28:Q33)-SUM('Balance Sheet'!P28:P33))</f>
        <v>-6187.8435784452595</v>
      </c>
      <c r="P20" s="7"/>
      <c r="T20"/>
    </row>
    <row r="21" spans="1:20" s="15" customFormat="1" x14ac:dyDescent="0.25">
      <c r="A21" s="7"/>
      <c r="B21" s="99"/>
      <c r="C21" s="117" t="s">
        <v>173</v>
      </c>
      <c r="D21" s="118">
        <v>0</v>
      </c>
      <c r="E21" s="118">
        <v>0</v>
      </c>
      <c r="F21" s="118">
        <v>0</v>
      </c>
      <c r="G21" s="118">
        <v>0</v>
      </c>
      <c r="H21" s="118">
        <v>0</v>
      </c>
      <c r="I21" s="118">
        <v>0</v>
      </c>
      <c r="J21" s="118">
        <v>120000</v>
      </c>
      <c r="K21" s="118">
        <v>0</v>
      </c>
      <c r="L21" s="118">
        <v>0</v>
      </c>
      <c r="M21" s="118">
        <v>0</v>
      </c>
      <c r="N21" s="118">
        <v>0</v>
      </c>
      <c r="O21" s="118">
        <v>0</v>
      </c>
      <c r="P21" s="7"/>
      <c r="T21"/>
    </row>
    <row r="22" spans="1:20" s="15" customFormat="1" ht="15" customHeight="1" x14ac:dyDescent="0.25">
      <c r="A22" s="7"/>
      <c r="B22" s="99"/>
      <c r="C22" s="70" t="s">
        <v>180</v>
      </c>
      <c r="D22" s="113">
        <f t="shared" ref="D22:O22" si="1">SUM(D13:D21)</f>
        <v>69257.92943333264</v>
      </c>
      <c r="E22" s="113">
        <f t="shared" si="1"/>
        <v>559135.48087766673</v>
      </c>
      <c r="F22" s="113">
        <f t="shared" si="1"/>
        <v>334109.05863704288</v>
      </c>
      <c r="G22" s="113">
        <f t="shared" si="1"/>
        <v>350447.44861448935</v>
      </c>
      <c r="H22" s="113">
        <f t="shared" si="1"/>
        <v>-512515.61827811366</v>
      </c>
      <c r="I22" s="113">
        <f t="shared" si="1"/>
        <v>-894626.75706674228</v>
      </c>
      <c r="J22" s="113">
        <f t="shared" si="1"/>
        <v>218129.76782364133</v>
      </c>
      <c r="K22" s="113">
        <f t="shared" si="1"/>
        <v>266529.96054750623</v>
      </c>
      <c r="L22" s="113">
        <f t="shared" si="1"/>
        <v>885776.71176087786</v>
      </c>
      <c r="M22" s="113">
        <f t="shared" si="1"/>
        <v>945184.15145013551</v>
      </c>
      <c r="N22" s="113">
        <f t="shared" si="1"/>
        <v>59405.122510936577</v>
      </c>
      <c r="O22" s="113">
        <f t="shared" si="1"/>
        <v>696976.74859957327</v>
      </c>
      <c r="P22" s="7"/>
      <c r="Q22" s="7"/>
      <c r="T22"/>
    </row>
    <row r="23" spans="1:20" s="15" customFormat="1" ht="15" customHeight="1" x14ac:dyDescent="0.25">
      <c r="A23" s="7"/>
      <c r="B23" s="7"/>
      <c r="C23" s="7"/>
      <c r="D23" s="114"/>
      <c r="E23" s="114"/>
      <c r="F23" s="114"/>
      <c r="G23" s="114"/>
      <c r="H23" s="114"/>
      <c r="I23" s="114"/>
      <c r="J23" s="114"/>
      <c r="K23" s="114"/>
      <c r="L23" s="114"/>
      <c r="M23" s="114"/>
      <c r="N23" s="114"/>
      <c r="O23" s="114"/>
      <c r="P23" s="7"/>
      <c r="Q23" s="115"/>
      <c r="T23"/>
    </row>
    <row r="24" spans="1:20" s="10" customFormat="1" ht="15" customHeight="1" x14ac:dyDescent="0.25">
      <c r="A24" s="7"/>
      <c r="B24" s="96"/>
      <c r="C24" s="97" t="s">
        <v>181</v>
      </c>
      <c r="D24" s="101"/>
      <c r="E24" s="101"/>
      <c r="F24" s="101"/>
      <c r="G24" s="101"/>
      <c r="H24" s="101"/>
      <c r="I24" s="101"/>
      <c r="J24" s="101"/>
      <c r="K24" s="101"/>
      <c r="L24" s="101"/>
      <c r="M24" s="101"/>
      <c r="N24" s="101"/>
      <c r="O24" s="101"/>
      <c r="P24" s="9"/>
      <c r="Q24" s="115"/>
      <c r="T24"/>
    </row>
    <row r="25" spans="1:20" s="10" customFormat="1" ht="15" customHeight="1" x14ac:dyDescent="0.25">
      <c r="A25" s="7"/>
      <c r="B25" s="9"/>
      <c r="C25" s="69" t="s">
        <v>174</v>
      </c>
      <c r="D25" s="120">
        <f>'Balance Sheet'!D19-'Balance Sheet'!F19</f>
        <v>0</v>
      </c>
      <c r="E25" s="120">
        <f>'Balance Sheet'!F19-'Balance Sheet'!G19</f>
        <v>0</v>
      </c>
      <c r="F25" s="120">
        <f>'Balance Sheet'!G19-'Balance Sheet'!H19</f>
        <v>0</v>
      </c>
      <c r="G25" s="120">
        <f>'Balance Sheet'!H19-'Balance Sheet'!I19</f>
        <v>0</v>
      </c>
      <c r="H25" s="120">
        <f>'Balance Sheet'!I19-'Balance Sheet'!J19</f>
        <v>0</v>
      </c>
      <c r="I25" s="120">
        <f>'Balance Sheet'!J19-'Balance Sheet'!K19</f>
        <v>0</v>
      </c>
      <c r="J25" s="120">
        <f>'Balance Sheet'!K19-'Balance Sheet'!L19</f>
        <v>-194000</v>
      </c>
      <c r="K25" s="120">
        <f>'Balance Sheet'!L19-'Balance Sheet'!M19</f>
        <v>0</v>
      </c>
      <c r="L25" s="120">
        <f>'Balance Sheet'!M19-'Balance Sheet'!N19</f>
        <v>0</v>
      </c>
      <c r="M25" s="120">
        <f>'Balance Sheet'!N19-'Balance Sheet'!O19</f>
        <v>0</v>
      </c>
      <c r="N25" s="120">
        <f>'Balance Sheet'!O19-'Balance Sheet'!P19</f>
        <v>0</v>
      </c>
      <c r="O25" s="120">
        <f>'Balance Sheet'!P19-'Balance Sheet'!Q19</f>
        <v>0</v>
      </c>
      <c r="P25" s="9"/>
      <c r="Q25" s="9"/>
      <c r="T25"/>
    </row>
    <row r="26" spans="1:20" s="10" customFormat="1" ht="15" customHeight="1" x14ac:dyDescent="0.25">
      <c r="A26" s="9"/>
      <c r="B26" s="96"/>
      <c r="C26" s="69" t="s">
        <v>175</v>
      </c>
      <c r="D26" s="119">
        <v>0</v>
      </c>
      <c r="E26" s="119">
        <v>0</v>
      </c>
      <c r="F26" s="119">
        <v>0</v>
      </c>
      <c r="G26" s="119">
        <v>0</v>
      </c>
      <c r="H26" s="119">
        <v>0</v>
      </c>
      <c r="I26" s="119">
        <v>0</v>
      </c>
      <c r="J26" s="119">
        <v>0</v>
      </c>
      <c r="K26" s="119">
        <v>0</v>
      </c>
      <c r="L26" s="119">
        <v>0</v>
      </c>
      <c r="M26" s="119">
        <v>-105000</v>
      </c>
      <c r="N26" s="119">
        <v>0</v>
      </c>
      <c r="O26" s="119">
        <v>0</v>
      </c>
      <c r="P26" s="9"/>
      <c r="Q26" s="9"/>
      <c r="T26"/>
    </row>
    <row r="27" spans="1:20" s="10" customFormat="1" x14ac:dyDescent="0.25">
      <c r="A27" s="9"/>
      <c r="B27" s="102"/>
      <c r="C27" s="70" t="s">
        <v>182</v>
      </c>
      <c r="D27" s="113">
        <f>SUM(D25:D26)</f>
        <v>0</v>
      </c>
      <c r="E27" s="113">
        <f t="shared" ref="E27:O27" si="2">SUM(E25:E26)</f>
        <v>0</v>
      </c>
      <c r="F27" s="113">
        <f t="shared" si="2"/>
        <v>0</v>
      </c>
      <c r="G27" s="113">
        <f t="shared" si="2"/>
        <v>0</v>
      </c>
      <c r="H27" s="113">
        <f t="shared" si="2"/>
        <v>0</v>
      </c>
      <c r="I27" s="113">
        <f t="shared" si="2"/>
        <v>0</v>
      </c>
      <c r="J27" s="113">
        <f t="shared" si="2"/>
        <v>-194000</v>
      </c>
      <c r="K27" s="113">
        <f t="shared" si="2"/>
        <v>0</v>
      </c>
      <c r="L27" s="113">
        <f t="shared" si="2"/>
        <v>0</v>
      </c>
      <c r="M27" s="113">
        <f t="shared" si="2"/>
        <v>-105000</v>
      </c>
      <c r="N27" s="113">
        <f t="shared" si="2"/>
        <v>0</v>
      </c>
      <c r="O27" s="113">
        <f t="shared" si="2"/>
        <v>0</v>
      </c>
      <c r="P27" s="9"/>
      <c r="Q27" s="9"/>
      <c r="T27"/>
    </row>
    <row r="28" spans="1:20" s="10" customFormat="1" ht="21" x14ac:dyDescent="0.25">
      <c r="A28" s="9"/>
      <c r="B28" s="102"/>
      <c r="C28" s="103"/>
      <c r="D28" s="116"/>
      <c r="E28" s="116"/>
      <c r="F28" s="116"/>
      <c r="G28" s="116"/>
      <c r="H28" s="116"/>
      <c r="I28" s="116"/>
      <c r="J28" s="116"/>
      <c r="K28" s="116"/>
      <c r="L28" s="116"/>
      <c r="M28" s="116"/>
      <c r="N28" s="116"/>
      <c r="O28" s="116"/>
      <c r="P28" s="9"/>
      <c r="Q28" s="9"/>
      <c r="T28"/>
    </row>
    <row r="29" spans="1:20" s="10" customFormat="1" x14ac:dyDescent="0.25">
      <c r="A29" s="9"/>
      <c r="B29" s="96"/>
      <c r="C29" s="97" t="s">
        <v>183</v>
      </c>
      <c r="D29" s="101"/>
      <c r="E29" s="101"/>
      <c r="F29" s="101"/>
      <c r="G29" s="101"/>
      <c r="H29" s="101"/>
      <c r="I29" s="101"/>
      <c r="J29" s="101"/>
      <c r="K29" s="101"/>
      <c r="L29" s="101"/>
      <c r="M29" s="101"/>
      <c r="N29" s="101"/>
      <c r="O29" s="101"/>
      <c r="P29" s="9"/>
      <c r="Q29" s="9"/>
      <c r="T29"/>
    </row>
    <row r="30" spans="1:20" s="10" customFormat="1" x14ac:dyDescent="0.25">
      <c r="A30" s="9"/>
      <c r="B30" s="9"/>
      <c r="C30" s="69" t="s">
        <v>176</v>
      </c>
      <c r="D30" s="120">
        <f>'Balance Sheet'!F41-'Balance Sheet'!D41</f>
        <v>0</v>
      </c>
      <c r="E30" s="120">
        <f>'Balance Sheet'!G41-'Balance Sheet'!F41</f>
        <v>0</v>
      </c>
      <c r="F30" s="120">
        <f>'Balance Sheet'!H41-'Balance Sheet'!G41</f>
        <v>0</v>
      </c>
      <c r="G30" s="120">
        <f>'Balance Sheet'!I41-'Balance Sheet'!H41</f>
        <v>500000</v>
      </c>
      <c r="H30" s="120">
        <f>'Balance Sheet'!J41-'Balance Sheet'!I41</f>
        <v>-500000</v>
      </c>
      <c r="I30" s="120">
        <f>'Balance Sheet'!K41-'Balance Sheet'!J41</f>
        <v>0</v>
      </c>
      <c r="J30" s="120">
        <f>'Balance Sheet'!L41-'Balance Sheet'!K41</f>
        <v>0</v>
      </c>
      <c r="K30" s="120">
        <f>'Balance Sheet'!M41-'Balance Sheet'!L41</f>
        <v>0</v>
      </c>
      <c r="L30" s="120">
        <f>'Balance Sheet'!N41-'Balance Sheet'!M41</f>
        <v>0</v>
      </c>
      <c r="M30" s="120">
        <f>'Balance Sheet'!O41-'Balance Sheet'!N41</f>
        <v>0</v>
      </c>
      <c r="N30" s="120">
        <f>'Balance Sheet'!P41-'Balance Sheet'!O41</f>
        <v>0</v>
      </c>
      <c r="O30" s="120">
        <f>'Balance Sheet'!Q41-'Balance Sheet'!P41</f>
        <v>0</v>
      </c>
      <c r="P30" s="9"/>
      <c r="Q30" s="9"/>
      <c r="T30"/>
    </row>
    <row r="31" spans="1:20" s="12" customFormat="1" x14ac:dyDescent="0.25">
      <c r="A31" s="8"/>
      <c r="B31" s="105"/>
      <c r="C31" s="69" t="s">
        <v>177</v>
      </c>
      <c r="D31" s="120">
        <f>(SUM('Balance Sheet'!F35:F37)-SUM('Balance Sheet'!D35:D37))</f>
        <v>-8500</v>
      </c>
      <c r="E31" s="120">
        <f>(SUM('Balance Sheet'!G35:G37)-SUM('Balance Sheet'!F35:F37))</f>
        <v>-8500</v>
      </c>
      <c r="F31" s="120">
        <f>(SUM('Balance Sheet'!H35:H37)-SUM('Balance Sheet'!G35:G37))</f>
        <v>-129000</v>
      </c>
      <c r="G31" s="120">
        <f>(SUM('Balance Sheet'!I35:I37)-SUM('Balance Sheet'!H35:H37))</f>
        <v>-13000</v>
      </c>
      <c r="H31" s="120">
        <f>(SUM('Balance Sheet'!J35:J37)-SUM('Balance Sheet'!I35:I37))</f>
        <v>-8500</v>
      </c>
      <c r="I31" s="120">
        <f>(SUM('Balance Sheet'!K35:K37)-SUM('Balance Sheet'!J35:J37))</f>
        <v>-8500</v>
      </c>
      <c r="J31" s="120">
        <f>(SUM('Balance Sheet'!L35:L37)-SUM('Balance Sheet'!K35:K37))</f>
        <v>-8500</v>
      </c>
      <c r="K31" s="120">
        <f>(SUM('Balance Sheet'!M35:M37)-SUM('Balance Sheet'!L35:L37))</f>
        <v>-8500</v>
      </c>
      <c r="L31" s="120">
        <f>(SUM('Balance Sheet'!N35:N37)-SUM('Balance Sheet'!M35:M37))</f>
        <v>106500</v>
      </c>
      <c r="M31" s="120">
        <f>(SUM('Balance Sheet'!O35:O37)-SUM('Balance Sheet'!N35:N37))</f>
        <v>-64100</v>
      </c>
      <c r="N31" s="120">
        <f>(SUM('Balance Sheet'!P35:P37)-SUM('Balance Sheet'!O35:O37))</f>
        <v>12356</v>
      </c>
      <c r="O31" s="120">
        <f>(SUM('Balance Sheet'!Q35:Q37)-SUM('Balance Sheet'!P35:P37))</f>
        <v>24844</v>
      </c>
      <c r="P31" s="8"/>
      <c r="Q31" s="8"/>
      <c r="S31" s="8"/>
    </row>
    <row r="32" spans="1:20" s="12" customFormat="1" x14ac:dyDescent="0.25">
      <c r="A32" s="8"/>
      <c r="B32" s="8"/>
      <c r="C32" s="70" t="s">
        <v>184</v>
      </c>
      <c r="D32" s="113">
        <f>SUM(D30:D31)</f>
        <v>-8500</v>
      </c>
      <c r="E32" s="113">
        <f t="shared" ref="E32" si="3">SUM(E30:E31)</f>
        <v>-8500</v>
      </c>
      <c r="F32" s="113">
        <f t="shared" ref="F32" si="4">SUM(F30:F31)</f>
        <v>-129000</v>
      </c>
      <c r="G32" s="113">
        <f t="shared" ref="G32" si="5">SUM(G30:G31)</f>
        <v>487000</v>
      </c>
      <c r="H32" s="113">
        <f>SUM(H30:H31)</f>
        <v>-508500</v>
      </c>
      <c r="I32" s="113">
        <f t="shared" ref="I32" si="6">SUM(I30:I31)</f>
        <v>-8500</v>
      </c>
      <c r="J32" s="113">
        <f t="shared" ref="J32" si="7">SUM(J30:J31)</f>
        <v>-8500</v>
      </c>
      <c r="K32" s="113">
        <f t="shared" ref="K32" si="8">SUM(K30:K31)</f>
        <v>-8500</v>
      </c>
      <c r="L32" s="113">
        <f t="shared" ref="L32" si="9">SUM(L30:L31)</f>
        <v>106500</v>
      </c>
      <c r="M32" s="113">
        <f t="shared" ref="M32" si="10">SUM(M30:M31)</f>
        <v>-64100</v>
      </c>
      <c r="N32" s="113">
        <f t="shared" ref="N32" si="11">SUM(N30:N31)</f>
        <v>12356</v>
      </c>
      <c r="O32" s="113">
        <f t="shared" ref="O32" si="12">SUM(O30:O31)</f>
        <v>24844</v>
      </c>
      <c r="P32" s="8"/>
      <c r="Q32" s="8"/>
    </row>
    <row r="33" spans="1:17" s="10" customFormat="1" ht="21" x14ac:dyDescent="0.25">
      <c r="A33" s="9"/>
      <c r="B33" s="102"/>
      <c r="C33" s="100"/>
      <c r="D33" s="116"/>
      <c r="E33" s="116"/>
      <c r="F33" s="116"/>
      <c r="G33" s="116"/>
      <c r="H33" s="116"/>
      <c r="I33" s="116"/>
      <c r="J33" s="116"/>
      <c r="K33" s="116"/>
      <c r="L33" s="116"/>
      <c r="M33" s="116"/>
      <c r="N33" s="116"/>
      <c r="O33" s="116"/>
      <c r="P33" s="9"/>
      <c r="Q33" s="9"/>
    </row>
    <row r="34" spans="1:17" s="10" customFormat="1" x14ac:dyDescent="0.25">
      <c r="A34" s="9"/>
      <c r="B34" s="102"/>
      <c r="C34" s="103" t="s">
        <v>2</v>
      </c>
      <c r="D34" s="120">
        <f>'Balance Sheet'!$D$13</f>
        <v>4755714.7</v>
      </c>
      <c r="E34" s="120">
        <f>D36</f>
        <v>4816472.6294333329</v>
      </c>
      <c r="F34" s="120">
        <f>E36</f>
        <v>5367108.1103109997</v>
      </c>
      <c r="G34" s="120">
        <f t="shared" ref="G34:O34" si="13">F36</f>
        <v>5572217.1689480422</v>
      </c>
      <c r="H34" s="120">
        <f t="shared" si="13"/>
        <v>6409664.6175625315</v>
      </c>
      <c r="I34" s="120">
        <f t="shared" si="13"/>
        <v>5388648.9992844183</v>
      </c>
      <c r="J34" s="120">
        <f t="shared" si="13"/>
        <v>4485522.2422176758</v>
      </c>
      <c r="K34" s="120">
        <f t="shared" si="13"/>
        <v>4501152.010041317</v>
      </c>
      <c r="L34" s="120">
        <f t="shared" si="13"/>
        <v>4759181.9705888228</v>
      </c>
      <c r="M34" s="120">
        <f t="shared" si="13"/>
        <v>5751458.6823497005</v>
      </c>
      <c r="N34" s="120">
        <f t="shared" si="13"/>
        <v>6527542.8337998362</v>
      </c>
      <c r="O34" s="120">
        <f t="shared" si="13"/>
        <v>6599303.9563107733</v>
      </c>
      <c r="P34" s="9"/>
      <c r="Q34" s="9"/>
    </row>
    <row r="35" spans="1:17" s="10" customFormat="1" x14ac:dyDescent="0.25">
      <c r="A35" s="9"/>
      <c r="B35" s="96"/>
      <c r="C35" s="103" t="s">
        <v>178</v>
      </c>
      <c r="D35" s="120">
        <f>D22+D27+D32</f>
        <v>60757.92943333264</v>
      </c>
      <c r="E35" s="120">
        <f t="shared" ref="E35:O35" si="14">E22+E27+E32</f>
        <v>550635.48087766673</v>
      </c>
      <c r="F35" s="120">
        <f t="shared" si="14"/>
        <v>205109.05863704288</v>
      </c>
      <c r="G35" s="120">
        <f t="shared" si="14"/>
        <v>837447.44861448929</v>
      </c>
      <c r="H35" s="120">
        <f t="shared" si="14"/>
        <v>-1021015.6182781137</v>
      </c>
      <c r="I35" s="120">
        <f t="shared" si="14"/>
        <v>-903126.75706674228</v>
      </c>
      <c r="J35" s="120">
        <f t="shared" si="14"/>
        <v>15629.767823641334</v>
      </c>
      <c r="K35" s="120">
        <f t="shared" si="14"/>
        <v>258029.96054750623</v>
      </c>
      <c r="L35" s="120">
        <f t="shared" si="14"/>
        <v>992276.71176087786</v>
      </c>
      <c r="M35" s="120">
        <f t="shared" si="14"/>
        <v>776084.15145013551</v>
      </c>
      <c r="N35" s="120">
        <f t="shared" si="14"/>
        <v>71761.122510936577</v>
      </c>
      <c r="O35" s="120">
        <f t="shared" si="14"/>
        <v>721820.74859957327</v>
      </c>
      <c r="P35" s="9"/>
      <c r="Q35" s="9"/>
    </row>
    <row r="36" spans="1:17" s="10" customFormat="1" x14ac:dyDescent="0.25">
      <c r="A36" s="9"/>
      <c r="B36" s="9"/>
      <c r="C36" s="70" t="s">
        <v>18</v>
      </c>
      <c r="D36" s="113">
        <f>SUM(D34:D35)</f>
        <v>4816472.6294333329</v>
      </c>
      <c r="E36" s="113">
        <f t="shared" ref="E36:O36" si="15">SUM(E34:E35)</f>
        <v>5367108.1103109997</v>
      </c>
      <c r="F36" s="113">
        <f t="shared" si="15"/>
        <v>5572217.1689480422</v>
      </c>
      <c r="G36" s="113">
        <f t="shared" si="15"/>
        <v>6409664.6175625315</v>
      </c>
      <c r="H36" s="113">
        <f t="shared" si="15"/>
        <v>5388648.9992844183</v>
      </c>
      <c r="I36" s="113">
        <f t="shared" si="15"/>
        <v>4485522.2422176758</v>
      </c>
      <c r="J36" s="113">
        <f t="shared" si="15"/>
        <v>4501152.010041317</v>
      </c>
      <c r="K36" s="113">
        <f t="shared" si="15"/>
        <v>4759181.9705888228</v>
      </c>
      <c r="L36" s="113">
        <f t="shared" si="15"/>
        <v>5751458.6823497005</v>
      </c>
      <c r="M36" s="113">
        <f t="shared" si="15"/>
        <v>6527542.8337998362</v>
      </c>
      <c r="N36" s="113">
        <f t="shared" si="15"/>
        <v>6599303.9563107733</v>
      </c>
      <c r="O36" s="113">
        <f t="shared" si="15"/>
        <v>7321124.7049103463</v>
      </c>
      <c r="P36" s="9"/>
      <c r="Q36" s="9"/>
    </row>
    <row r="37" spans="1:17" s="10" customFormat="1" ht="21" x14ac:dyDescent="0.25">
      <c r="A37" s="9"/>
      <c r="B37" s="102"/>
      <c r="C37" s="103"/>
      <c r="D37" s="116"/>
      <c r="E37" s="116"/>
      <c r="F37" s="116"/>
      <c r="G37" s="116"/>
      <c r="H37" s="116"/>
      <c r="I37" s="116"/>
      <c r="J37" s="116"/>
      <c r="K37" s="116"/>
      <c r="L37" s="116"/>
      <c r="M37" s="116"/>
      <c r="N37" s="116"/>
      <c r="O37" s="116"/>
      <c r="P37" s="9"/>
      <c r="Q37" s="9"/>
    </row>
    <row r="38" spans="1:17" s="10" customFormat="1" x14ac:dyDescent="0.25">
      <c r="A38" s="9"/>
      <c r="B38" s="102"/>
      <c r="C38" s="103"/>
      <c r="P38" s="9"/>
      <c r="Q38" s="9"/>
    </row>
    <row r="39" spans="1:17" s="10" customFormat="1" x14ac:dyDescent="0.25">
      <c r="A39" s="9"/>
      <c r="B39" s="96"/>
      <c r="C39" s="103"/>
      <c r="D39" s="104"/>
      <c r="E39" s="104"/>
      <c r="F39" s="104"/>
      <c r="G39" s="104"/>
      <c r="H39" s="104"/>
      <c r="I39" s="104"/>
      <c r="J39" s="104"/>
      <c r="K39" s="104"/>
      <c r="L39" s="104"/>
      <c r="M39" s="104"/>
      <c r="N39" s="104"/>
      <c r="O39" s="104"/>
      <c r="P39" s="9"/>
      <c r="Q39" s="9"/>
    </row>
    <row r="40" spans="1:17" s="10" customFormat="1" x14ac:dyDescent="0.25">
      <c r="A40" s="9"/>
      <c r="B40" s="96"/>
      <c r="C40" s="103"/>
      <c r="D40" s="107"/>
      <c r="E40" s="107"/>
      <c r="F40" s="107"/>
      <c r="G40" s="107"/>
      <c r="H40" s="107"/>
      <c r="I40" s="107"/>
      <c r="J40" s="107"/>
      <c r="K40" s="107"/>
      <c r="L40" s="107"/>
      <c r="M40" s="107"/>
      <c r="N40" s="107"/>
      <c r="O40" s="107"/>
      <c r="P40" s="9"/>
      <c r="Q40" s="9"/>
    </row>
    <row r="41" spans="1:17" s="10" customFormat="1" x14ac:dyDescent="0.25">
      <c r="A41" s="9"/>
      <c r="B41" s="96"/>
      <c r="C41" s="103"/>
      <c r="D41" s="104"/>
      <c r="E41" s="104"/>
      <c r="F41" s="104"/>
      <c r="G41" s="104"/>
      <c r="H41" s="104"/>
      <c r="I41" s="104"/>
      <c r="J41" s="104"/>
      <c r="K41" s="104"/>
      <c r="L41" s="104"/>
      <c r="M41" s="104"/>
      <c r="N41" s="104"/>
      <c r="O41" s="104"/>
      <c r="P41" s="9"/>
      <c r="Q41" s="9"/>
    </row>
    <row r="42" spans="1:17" s="10" customFormat="1" x14ac:dyDescent="0.25">
      <c r="A42" s="9"/>
      <c r="B42" s="96"/>
      <c r="C42" s="103"/>
      <c r="D42" s="104"/>
      <c r="E42" s="104"/>
      <c r="F42" s="104"/>
      <c r="G42" s="104"/>
      <c r="H42" s="104"/>
      <c r="I42" s="104"/>
      <c r="J42" s="104"/>
      <c r="K42" s="104"/>
      <c r="L42" s="104"/>
      <c r="M42" s="104"/>
      <c r="N42" s="104"/>
      <c r="O42" s="104"/>
      <c r="P42" s="9"/>
      <c r="Q42" s="9"/>
    </row>
    <row r="43" spans="1:17" s="10" customFormat="1" x14ac:dyDescent="0.25">
      <c r="A43" s="9"/>
      <c r="B43" s="102"/>
      <c r="C43" s="103"/>
      <c r="D43" s="104"/>
      <c r="E43" s="104"/>
      <c r="F43" s="104"/>
      <c r="G43" s="104"/>
      <c r="H43" s="104"/>
      <c r="I43" s="104"/>
      <c r="J43" s="104"/>
      <c r="K43" s="104"/>
      <c r="L43" s="104"/>
      <c r="M43" s="104"/>
      <c r="N43" s="104"/>
      <c r="O43" s="104"/>
      <c r="P43" s="9"/>
      <c r="Q43" s="9"/>
    </row>
    <row r="44" spans="1:17" s="12" customFormat="1" x14ac:dyDescent="0.25">
      <c r="A44" s="8"/>
      <c r="B44" s="101"/>
      <c r="C44" s="70"/>
      <c r="D44" s="101"/>
      <c r="E44" s="101"/>
      <c r="F44" s="101"/>
      <c r="G44" s="101"/>
      <c r="H44" s="101"/>
      <c r="I44" s="101"/>
      <c r="J44" s="101"/>
      <c r="K44" s="101"/>
      <c r="L44" s="101"/>
      <c r="M44" s="101"/>
      <c r="N44" s="101"/>
      <c r="O44" s="101"/>
      <c r="P44" s="8"/>
      <c r="Q44" s="8"/>
    </row>
    <row r="45" spans="1:17" s="10" customFormat="1" x14ac:dyDescent="0.25">
      <c r="A45" s="9"/>
      <c r="B45" s="9"/>
      <c r="C45" s="9"/>
      <c r="D45" s="9"/>
      <c r="E45" s="9"/>
      <c r="F45" s="9"/>
      <c r="G45" s="9"/>
      <c r="H45" s="9"/>
      <c r="I45" s="9"/>
      <c r="J45" s="9"/>
      <c r="K45" s="9"/>
      <c r="L45" s="9"/>
      <c r="M45" s="9"/>
      <c r="N45" s="9"/>
      <c r="O45" s="9"/>
      <c r="P45" s="9"/>
      <c r="Q45" s="9"/>
    </row>
    <row r="46" spans="1:17" s="10" customFormat="1" x14ac:dyDescent="0.25">
      <c r="A46" s="9"/>
      <c r="B46" s="9"/>
      <c r="C46" s="108"/>
      <c r="D46" s="9"/>
      <c r="E46" s="9"/>
      <c r="F46" s="9"/>
      <c r="G46" s="9"/>
      <c r="H46" s="9"/>
      <c r="I46" s="9"/>
      <c r="J46" s="9"/>
      <c r="K46" s="9"/>
      <c r="L46" s="9"/>
      <c r="M46" s="9"/>
      <c r="N46" s="9"/>
      <c r="O46" s="9"/>
      <c r="P46" s="9"/>
      <c r="Q46" s="9"/>
    </row>
    <row r="47" spans="1:17" s="10" customFormat="1" x14ac:dyDescent="0.25">
      <c r="A47" s="9"/>
      <c r="B47" s="96"/>
      <c r="C47" s="103"/>
      <c r="D47" s="104"/>
      <c r="E47" s="104"/>
      <c r="F47" s="104"/>
      <c r="G47" s="104"/>
      <c r="H47" s="104"/>
      <c r="I47" s="104"/>
      <c r="J47" s="104"/>
      <c r="K47" s="104"/>
      <c r="L47" s="104"/>
      <c r="M47" s="104"/>
      <c r="N47" s="104"/>
      <c r="O47" s="104"/>
      <c r="P47" s="9"/>
      <c r="Q47" s="9"/>
    </row>
    <row r="48" spans="1:17" s="10" customFormat="1" x14ac:dyDescent="0.25">
      <c r="A48" s="9"/>
      <c r="B48" s="96"/>
      <c r="C48" s="103"/>
      <c r="D48" s="104"/>
      <c r="E48" s="104"/>
      <c r="F48" s="104"/>
      <c r="G48" s="104"/>
      <c r="H48" s="104"/>
      <c r="I48" s="104"/>
      <c r="J48" s="104"/>
      <c r="K48" s="104"/>
      <c r="L48" s="104"/>
      <c r="M48" s="104"/>
      <c r="N48" s="104"/>
      <c r="O48" s="104"/>
      <c r="P48" s="9"/>
      <c r="Q48" s="9"/>
    </row>
    <row r="49" spans="1:17" s="10" customFormat="1" x14ac:dyDescent="0.25">
      <c r="A49" s="9"/>
      <c r="B49" s="96"/>
      <c r="C49" s="103"/>
      <c r="D49" s="104"/>
      <c r="E49" s="104"/>
      <c r="F49" s="104"/>
      <c r="G49" s="104"/>
      <c r="H49" s="104"/>
      <c r="I49" s="104"/>
      <c r="J49" s="104"/>
      <c r="K49" s="104"/>
      <c r="L49" s="104"/>
      <c r="M49" s="104"/>
      <c r="N49" s="104"/>
      <c r="O49" s="104"/>
      <c r="P49" s="9"/>
      <c r="Q49" s="9"/>
    </row>
    <row r="50" spans="1:17" s="10" customFormat="1" x14ac:dyDescent="0.25">
      <c r="A50" s="9"/>
      <c r="B50" s="9"/>
      <c r="C50" s="9"/>
      <c r="D50" s="9"/>
      <c r="E50" s="9"/>
      <c r="F50" s="9"/>
      <c r="G50" s="9"/>
      <c r="H50" s="9"/>
      <c r="I50" s="9"/>
      <c r="J50" s="9"/>
      <c r="K50" s="9"/>
      <c r="L50" s="9"/>
      <c r="M50" s="9"/>
      <c r="N50" s="9"/>
      <c r="O50" s="9"/>
      <c r="P50" s="9"/>
      <c r="Q50" s="9"/>
    </row>
    <row r="51" spans="1:17" s="10" customFormat="1" x14ac:dyDescent="0.25">
      <c r="A51" s="9"/>
      <c r="B51" s="96"/>
      <c r="C51" s="70"/>
      <c r="D51" s="101"/>
      <c r="E51" s="101"/>
      <c r="F51" s="101"/>
      <c r="G51" s="101"/>
      <c r="H51" s="101"/>
      <c r="I51" s="101"/>
      <c r="J51" s="101"/>
      <c r="K51" s="101"/>
      <c r="L51" s="101"/>
      <c r="M51" s="101"/>
      <c r="N51" s="101"/>
      <c r="O51" s="101"/>
      <c r="P51" s="9"/>
      <c r="Q51" s="9"/>
    </row>
    <row r="52" spans="1:17" s="10" customFormat="1" x14ac:dyDescent="0.25">
      <c r="A52" s="9"/>
      <c r="B52" s="9"/>
      <c r="C52" s="9"/>
      <c r="D52" s="9"/>
      <c r="E52" s="9"/>
      <c r="F52" s="9"/>
      <c r="G52" s="9"/>
      <c r="H52" s="9"/>
      <c r="I52" s="9"/>
      <c r="J52" s="9"/>
      <c r="K52" s="9"/>
      <c r="L52" s="9"/>
      <c r="M52" s="9"/>
      <c r="N52" s="9"/>
      <c r="O52" s="9"/>
      <c r="P52" s="9"/>
      <c r="Q52" s="9"/>
    </row>
    <row r="53" spans="1:17" s="10" customFormat="1" x14ac:dyDescent="0.25">
      <c r="A53" s="9"/>
      <c r="B53" s="96"/>
      <c r="C53" s="8"/>
      <c r="D53" s="101"/>
      <c r="E53" s="101"/>
      <c r="F53" s="101"/>
      <c r="G53" s="101"/>
      <c r="H53" s="101"/>
      <c r="I53" s="101"/>
      <c r="J53" s="101"/>
      <c r="K53" s="101"/>
      <c r="L53" s="101"/>
      <c r="M53" s="101"/>
      <c r="N53" s="101"/>
      <c r="O53" s="101"/>
      <c r="P53" s="9"/>
      <c r="Q53" s="9"/>
    </row>
    <row r="54" spans="1:17" s="10" customFormat="1" x14ac:dyDescent="0.25">
      <c r="A54" s="9"/>
      <c r="B54" s="9"/>
      <c r="C54" s="9"/>
      <c r="D54" s="9"/>
      <c r="E54" s="9"/>
      <c r="F54" s="9"/>
      <c r="G54" s="9"/>
      <c r="H54" s="9"/>
      <c r="I54" s="9"/>
      <c r="J54" s="9"/>
      <c r="K54" s="9"/>
      <c r="L54" s="9"/>
      <c r="M54" s="9"/>
      <c r="N54" s="9"/>
      <c r="O54" s="9"/>
      <c r="P54" s="9"/>
      <c r="Q54" s="9"/>
    </row>
    <row r="55" spans="1:17" s="12" customFormat="1" x14ac:dyDescent="0.25">
      <c r="A55" s="8"/>
      <c r="B55" s="109"/>
      <c r="C55" s="8"/>
      <c r="D55" s="109"/>
      <c r="E55" s="109"/>
      <c r="F55" s="109"/>
      <c r="G55" s="109"/>
      <c r="H55" s="109"/>
      <c r="I55" s="109"/>
      <c r="J55" s="109"/>
      <c r="K55" s="109"/>
      <c r="L55" s="109"/>
      <c r="M55" s="109"/>
      <c r="N55" s="109"/>
      <c r="O55" s="109"/>
      <c r="P55" s="8"/>
      <c r="Q55" s="8"/>
    </row>
    <row r="56" spans="1:17" s="10" customFormat="1" x14ac:dyDescent="0.25">
      <c r="A56" s="9"/>
      <c r="B56" s="9"/>
      <c r="C56" s="9"/>
      <c r="D56" s="110"/>
      <c r="E56" s="110"/>
      <c r="F56" s="110"/>
      <c r="G56" s="110"/>
      <c r="H56" s="110"/>
      <c r="I56" s="110"/>
      <c r="J56" s="110"/>
      <c r="K56" s="110"/>
      <c r="L56" s="110"/>
      <c r="M56" s="110"/>
      <c r="N56" s="110"/>
      <c r="O56" s="110"/>
      <c r="P56" s="9"/>
    </row>
    <row r="57" spans="1:17" s="10" customFormat="1" x14ac:dyDescent="0.25">
      <c r="A57" s="9"/>
      <c r="B57" s="9"/>
      <c r="C57" s="9"/>
      <c r="D57" s="111"/>
      <c r="E57" s="9"/>
      <c r="F57" s="9"/>
      <c r="G57" s="9"/>
      <c r="H57" s="9"/>
      <c r="I57" s="9"/>
      <c r="J57" s="9"/>
      <c r="K57" s="9"/>
      <c r="L57" s="9"/>
      <c r="M57" s="9"/>
      <c r="N57" s="9"/>
      <c r="O57" s="9"/>
      <c r="P57" s="9"/>
    </row>
    <row r="58" spans="1:17" x14ac:dyDescent="0.25">
      <c r="B58" s="3"/>
      <c r="C58" s="3"/>
      <c r="D58" s="3"/>
    </row>
    <row r="59" spans="1:17" x14ac:dyDescent="0.25">
      <c r="B59" s="3"/>
      <c r="C59" s="3"/>
      <c r="D59" s="3"/>
    </row>
    <row r="60" spans="1:17" x14ac:dyDescent="0.25">
      <c r="B60" s="3"/>
      <c r="C60" s="3"/>
      <c r="D60" s="3"/>
    </row>
    <row r="61" spans="1:17" x14ac:dyDescent="0.25">
      <c r="B61" s="3"/>
      <c r="C61" s="3"/>
      <c r="D61" s="3"/>
    </row>
    <row r="62" spans="1:17" x14ac:dyDescent="0.25">
      <c r="B62" s="3"/>
      <c r="C62" s="3"/>
      <c r="D62" s="3"/>
    </row>
    <row r="63" spans="1:17" x14ac:dyDescent="0.25">
      <c r="B63" s="3"/>
      <c r="C63" s="3"/>
      <c r="D63" s="3"/>
    </row>
    <row r="64" spans="1:17"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B69" s="3"/>
      <c r="C69" s="3"/>
      <c r="D69" s="3"/>
    </row>
    <row r="70" spans="2:4" x14ac:dyDescent="0.25">
      <c r="B70" s="3"/>
      <c r="C70" s="3"/>
      <c r="D70" s="3"/>
    </row>
    <row r="71" spans="2:4" x14ac:dyDescent="0.25">
      <c r="B71" s="3"/>
      <c r="C71" s="3"/>
      <c r="D71" s="3"/>
    </row>
    <row r="72" spans="2:4" x14ac:dyDescent="0.25">
      <c r="B72" s="3"/>
      <c r="C72" s="3"/>
      <c r="D72" s="3"/>
    </row>
    <row r="73" spans="2:4" x14ac:dyDescent="0.25">
      <c r="B73" s="3"/>
      <c r="C73" s="3"/>
      <c r="D73" s="3"/>
    </row>
    <row r="74" spans="2:4" x14ac:dyDescent="0.25">
      <c r="B74" s="3"/>
      <c r="C74" s="3"/>
      <c r="D74" s="3"/>
    </row>
    <row r="75" spans="2:4" x14ac:dyDescent="0.25">
      <c r="B75" s="3"/>
      <c r="C75" s="3"/>
      <c r="D75" s="3"/>
    </row>
    <row r="76" spans="2:4" x14ac:dyDescent="0.25">
      <c r="B76" s="3"/>
      <c r="C76" s="3"/>
      <c r="D76" s="3"/>
    </row>
    <row r="77" spans="2:4" x14ac:dyDescent="0.25">
      <c r="B77" s="3"/>
      <c r="C77" s="3"/>
      <c r="D77" s="3"/>
    </row>
    <row r="78" spans="2:4" x14ac:dyDescent="0.25">
      <c r="B78" s="3"/>
      <c r="C78" s="3"/>
      <c r="D78" s="3"/>
    </row>
    <row r="79" spans="2:4" x14ac:dyDescent="0.25">
      <c r="B79" s="3"/>
      <c r="C79" s="3"/>
      <c r="D79" s="3"/>
    </row>
    <row r="80" spans="2:4" x14ac:dyDescent="0.25">
      <c r="B80" s="3"/>
      <c r="C80" s="3"/>
      <c r="D80" s="3"/>
    </row>
    <row r="81" spans="2:4" x14ac:dyDescent="0.25">
      <c r="B81" s="3"/>
      <c r="C81" s="3"/>
      <c r="D81" s="3"/>
    </row>
    <row r="82" spans="2:4" x14ac:dyDescent="0.25">
      <c r="B82" s="3"/>
      <c r="C82" s="3"/>
      <c r="D82" s="3"/>
    </row>
    <row r="83" spans="2:4" x14ac:dyDescent="0.25">
      <c r="B83" s="3"/>
      <c r="C83" s="3"/>
      <c r="D83" s="3"/>
    </row>
    <row r="84" spans="2:4" x14ac:dyDescent="0.25">
      <c r="B84" s="3"/>
      <c r="C84" s="3"/>
      <c r="D84" s="3"/>
    </row>
    <row r="85" spans="2:4" x14ac:dyDescent="0.25">
      <c r="B85" s="3"/>
      <c r="C85" s="3"/>
      <c r="D85" s="3"/>
    </row>
    <row r="86" spans="2:4" x14ac:dyDescent="0.25">
      <c r="B86" s="3"/>
      <c r="C86" s="3"/>
      <c r="D86" s="3"/>
    </row>
    <row r="87" spans="2:4" x14ac:dyDescent="0.25">
      <c r="B87" s="3"/>
      <c r="C87" s="3"/>
      <c r="D87" s="3"/>
    </row>
    <row r="88" spans="2:4" x14ac:dyDescent="0.25">
      <c r="B88" s="3"/>
      <c r="C88" s="3"/>
      <c r="D88" s="3"/>
    </row>
    <row r="89" spans="2:4" x14ac:dyDescent="0.25">
      <c r="B89" s="3"/>
      <c r="C89" s="3"/>
      <c r="D89" s="3"/>
    </row>
    <row r="90" spans="2:4" x14ac:dyDescent="0.25">
      <c r="B90" s="3"/>
      <c r="C90" s="3"/>
      <c r="D90" s="3"/>
    </row>
  </sheetData>
  <pageMargins left="0.7" right="0.7" top="0.75" bottom="0.75" header="0.3" footer="0.3"/>
  <pageSetup scale="59" fitToHeight="0" orientation="landscape" r:id="rId1"/>
  <headerFooter>
    <oddHeader>&amp;C&amp;24 13-WEEK CASH FLOW PROJECTION</oddHeader>
  </headerFooter>
  <ignoredErrors>
    <ignoredError sqref="D20 E20:O20" formulaRange="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B501DAA-52A4-4A14-BCA9-5C44BAB28392}">
          <x14:formula1>
            <xm:f>Drivers!$C$6:$C$13</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C49F9-0121-421A-B833-DB58C01300AF}">
  <sheetPr>
    <tabColor rgb="FF0000FF"/>
    <pageSetUpPr fitToPage="1"/>
  </sheetPr>
  <dimension ref="A1:BI86"/>
  <sheetViews>
    <sheetView showGridLines="0" zoomScaleNormal="100" zoomScaleSheetLayoutView="100" zoomScalePageLayoutView="80" workbookViewId="0">
      <selection activeCell="C11" sqref="C11"/>
    </sheetView>
  </sheetViews>
  <sheetFormatPr defaultColWidth="8.85546875" defaultRowHeight="15" x14ac:dyDescent="0.25"/>
  <cols>
    <col min="1" max="1" width="4.42578125" style="10" customWidth="1"/>
    <col min="2" max="2" width="3.28515625" customWidth="1"/>
    <col min="3" max="3" width="29.140625" bestFit="1" customWidth="1"/>
    <col min="4" max="4" width="13.42578125" customWidth="1"/>
    <col min="5" max="5" width="13" customWidth="1"/>
    <col min="6" max="7" width="13.5703125" customWidth="1"/>
    <col min="8" max="8" width="13.85546875" customWidth="1"/>
    <col min="9" max="9" width="12.85546875" customWidth="1"/>
    <col min="10" max="15" width="13.140625" customWidth="1"/>
  </cols>
  <sheetData>
    <row r="1" spans="1:61" s="17" customFormat="1" ht="29.25" customHeight="1" x14ac:dyDescent="0.25">
      <c r="A1" s="40"/>
      <c r="B1" s="40" t="s">
        <v>188</v>
      </c>
      <c r="C1" s="23"/>
      <c r="D1" s="22"/>
      <c r="E1" s="22"/>
      <c r="F1" s="22"/>
      <c r="G1" s="22"/>
      <c r="H1" s="22"/>
      <c r="I1" s="22"/>
      <c r="J1" s="22"/>
      <c r="K1" s="22"/>
      <c r="L1" s="22"/>
      <c r="M1" s="22"/>
      <c r="N1" s="22"/>
      <c r="O1" s="22"/>
      <c r="P1" s="22"/>
      <c r="Q1" s="22"/>
      <c r="R1" s="73"/>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row>
    <row r="2" spans="1:61" s="3" customFormat="1" x14ac:dyDescent="0.25">
      <c r="D2" s="88"/>
      <c r="E2" s="88"/>
      <c r="F2" s="88"/>
      <c r="G2" s="88"/>
      <c r="H2" s="88"/>
      <c r="I2" s="88"/>
      <c r="J2" s="88"/>
      <c r="K2" s="88"/>
      <c r="L2" s="88"/>
      <c r="M2" s="88"/>
      <c r="N2" s="88"/>
      <c r="O2" s="88"/>
    </row>
    <row r="3" spans="1:61" ht="15.75" x14ac:dyDescent="0.25">
      <c r="A3"/>
      <c r="C3" s="46" t="s">
        <v>64</v>
      </c>
      <c r="D3" s="42" t="s">
        <v>65</v>
      </c>
      <c r="P3" s="74"/>
    </row>
    <row r="4" spans="1:61" ht="15.75" x14ac:dyDescent="0.25">
      <c r="A4"/>
      <c r="C4" s="46" t="s">
        <v>108</v>
      </c>
      <c r="D4" s="42" t="s">
        <v>65</v>
      </c>
      <c r="P4" s="74"/>
    </row>
    <row r="5" spans="1:61" ht="15.75" x14ac:dyDescent="0.25">
      <c r="A5"/>
      <c r="C5" s="46" t="s">
        <v>73</v>
      </c>
      <c r="D5" s="42" t="s">
        <v>65</v>
      </c>
      <c r="P5" s="74"/>
    </row>
    <row r="6" spans="1:61" ht="15.75" x14ac:dyDescent="0.25">
      <c r="C6" s="46" t="s">
        <v>25</v>
      </c>
      <c r="D6" s="42" t="str">
        <f>'Cash Flow (Indirect)'!$D$6</f>
        <v>Forecast 6+6</v>
      </c>
      <c r="E6" s="89"/>
      <c r="P6" s="74"/>
    </row>
    <row r="7" spans="1:61" s="2" customFormat="1" ht="15.75" x14ac:dyDescent="0.25">
      <c r="A7" s="13"/>
      <c r="B7" s="4"/>
      <c r="C7" s="46" t="s">
        <v>0</v>
      </c>
      <c r="D7" s="123">
        <v>0.77500000000000002</v>
      </c>
      <c r="E7" s="121"/>
      <c r="F7" s="6"/>
    </row>
    <row r="8" spans="1:61" s="2" customFormat="1" ht="15.75" x14ac:dyDescent="0.25">
      <c r="A8" s="13"/>
      <c r="B8" s="4"/>
      <c r="C8" s="6"/>
      <c r="D8" s="122"/>
    </row>
    <row r="9" spans="1:61" s="5" customFormat="1" x14ac:dyDescent="0.25">
      <c r="A9" s="90"/>
      <c r="B9" s="93"/>
      <c r="C9" s="94"/>
      <c r="D9" s="56" t="str">
        <f>$D$6</f>
        <v>Forecast 6+6</v>
      </c>
      <c r="E9" s="56" t="str">
        <f t="shared" ref="E9:O9" si="0">$D$6</f>
        <v>Forecast 6+6</v>
      </c>
      <c r="F9" s="56" t="str">
        <f t="shared" si="0"/>
        <v>Forecast 6+6</v>
      </c>
      <c r="G9" s="56" t="str">
        <f t="shared" si="0"/>
        <v>Forecast 6+6</v>
      </c>
      <c r="H9" s="56" t="str">
        <f t="shared" si="0"/>
        <v>Forecast 6+6</v>
      </c>
      <c r="I9" s="56" t="str">
        <f t="shared" si="0"/>
        <v>Forecast 6+6</v>
      </c>
      <c r="J9" s="56" t="str">
        <f t="shared" si="0"/>
        <v>Forecast 6+6</v>
      </c>
      <c r="K9" s="56" t="str">
        <f t="shared" si="0"/>
        <v>Forecast 6+6</v>
      </c>
      <c r="L9" s="56" t="str">
        <f t="shared" si="0"/>
        <v>Forecast 6+6</v>
      </c>
      <c r="M9" s="56" t="str">
        <f t="shared" si="0"/>
        <v>Forecast 6+6</v>
      </c>
      <c r="N9" s="56" t="str">
        <f t="shared" si="0"/>
        <v>Forecast 6+6</v>
      </c>
      <c r="O9" s="56" t="str">
        <f t="shared" si="0"/>
        <v>Forecast 6+6</v>
      </c>
      <c r="P9" s="92"/>
    </row>
    <row r="10" spans="1:61" x14ac:dyDescent="0.25">
      <c r="A10" s="9"/>
      <c r="B10" s="7"/>
      <c r="C10" s="9"/>
      <c r="D10" s="56">
        <v>44592</v>
      </c>
      <c r="E10" s="56">
        <v>44620</v>
      </c>
      <c r="F10" s="56">
        <v>44651</v>
      </c>
      <c r="G10" s="56">
        <v>44681</v>
      </c>
      <c r="H10" s="56">
        <v>44712</v>
      </c>
      <c r="I10" s="56">
        <v>44742</v>
      </c>
      <c r="J10" s="56">
        <v>44773</v>
      </c>
      <c r="K10" s="56">
        <v>44804</v>
      </c>
      <c r="L10" s="56">
        <v>44834</v>
      </c>
      <c r="M10" s="56">
        <v>44865</v>
      </c>
      <c r="N10" s="56">
        <v>44895</v>
      </c>
      <c r="O10" s="56">
        <v>44926</v>
      </c>
      <c r="P10" s="3"/>
    </row>
    <row r="11" spans="1:61" s="14" customFormat="1" x14ac:dyDescent="0.25">
      <c r="A11" s="90"/>
      <c r="B11" s="93"/>
      <c r="C11" s="95"/>
      <c r="D11" s="93"/>
      <c r="E11" s="93"/>
      <c r="F11" s="93"/>
      <c r="G11" s="93"/>
      <c r="H11" s="93"/>
      <c r="I11" s="93"/>
      <c r="J11" s="93"/>
      <c r="K11" s="93"/>
      <c r="L11" s="93"/>
      <c r="M11" s="93"/>
      <c r="N11" s="93"/>
      <c r="O11" s="93"/>
      <c r="P11" s="90"/>
    </row>
    <row r="12" spans="1:61" s="15" customFormat="1" x14ac:dyDescent="0.25">
      <c r="A12" s="91"/>
      <c r="B12" s="96"/>
      <c r="C12" s="97" t="s">
        <v>0</v>
      </c>
      <c r="D12" s="120">
        <f>$D$7*'P&amp;L'!F17</f>
        <v>1885167.8150000002</v>
      </c>
      <c r="E12" s="120">
        <f>$D$7*'P&amp;L'!G17</f>
        <v>1969275.31</v>
      </c>
      <c r="F12" s="120">
        <f>$D$7*'P&amp;L'!H17</f>
        <v>1816845.0550000002</v>
      </c>
      <c r="G12" s="120">
        <f>$D$7*'P&amp;L'!I17</f>
        <v>1887318.75</v>
      </c>
      <c r="H12" s="120">
        <f>$D$7*'P&amp;L'!J17</f>
        <v>1846204.845</v>
      </c>
      <c r="I12" s="120">
        <f>$D$7*'P&amp;L'!K17</f>
        <v>1902480.54</v>
      </c>
      <c r="J12" s="120">
        <f>$D$7*'P&amp;L'!L17</f>
        <v>1874330.835</v>
      </c>
      <c r="K12" s="120">
        <f>$D$7*'P&amp;L'!M17</f>
        <v>1940092.5300000003</v>
      </c>
      <c r="L12" s="120">
        <f>$D$7*'P&amp;L'!N17</f>
        <v>2052651.825</v>
      </c>
      <c r="M12" s="120">
        <f>$D$7*'P&amp;L'!O17</f>
        <v>2170507.4699999997</v>
      </c>
      <c r="N12" s="120">
        <f>$D$7*'P&amp;L'!P17</f>
        <v>2370021.7650000001</v>
      </c>
      <c r="O12" s="120">
        <f>$D$7*'P&amp;L'!Q17</f>
        <v>2446929.5099999998</v>
      </c>
      <c r="P12" s="7"/>
    </row>
    <row r="13" spans="1:61" s="15" customFormat="1" x14ac:dyDescent="0.25">
      <c r="A13" s="7"/>
      <c r="B13" s="99"/>
      <c r="C13" s="70" t="s">
        <v>1</v>
      </c>
      <c r="D13" s="124">
        <v>0.88</v>
      </c>
      <c r="E13" s="124">
        <v>0.88</v>
      </c>
      <c r="F13" s="124">
        <v>0.9</v>
      </c>
      <c r="G13" s="124">
        <v>0.92</v>
      </c>
      <c r="H13" s="124">
        <v>0.92</v>
      </c>
      <c r="I13" s="124">
        <v>0.9</v>
      </c>
      <c r="J13" s="124">
        <v>0.9</v>
      </c>
      <c r="K13" s="124">
        <v>0.9</v>
      </c>
      <c r="L13" s="124">
        <v>0.92</v>
      </c>
      <c r="M13" s="124">
        <v>0.92</v>
      </c>
      <c r="N13" s="124">
        <v>0.88</v>
      </c>
      <c r="O13" s="124">
        <v>0.88</v>
      </c>
      <c r="P13" s="7"/>
    </row>
    <row r="14" spans="1:61" s="15" customFormat="1" x14ac:dyDescent="0.25">
      <c r="A14" s="7"/>
      <c r="B14" s="99"/>
      <c r="C14" s="70" t="s">
        <v>38</v>
      </c>
      <c r="D14" s="124">
        <v>0.8</v>
      </c>
      <c r="E14" s="124">
        <v>0.8</v>
      </c>
      <c r="F14" s="124">
        <v>0.85</v>
      </c>
      <c r="G14" s="124">
        <v>0.85</v>
      </c>
      <c r="H14" s="124">
        <v>0.85</v>
      </c>
      <c r="I14" s="124">
        <v>0.85</v>
      </c>
      <c r="J14" s="124">
        <v>0.85</v>
      </c>
      <c r="K14" s="124">
        <v>0.85</v>
      </c>
      <c r="L14" s="124">
        <v>0.85</v>
      </c>
      <c r="M14" s="124">
        <v>0.85</v>
      </c>
      <c r="N14" s="124">
        <v>0.8</v>
      </c>
      <c r="O14" s="124">
        <v>0.8</v>
      </c>
      <c r="P14" s="7"/>
      <c r="Q14" s="7"/>
      <c r="R14" s="7"/>
      <c r="S14" s="7"/>
    </row>
    <row r="15" spans="1:61" s="15" customFormat="1" ht="15" customHeight="1" x14ac:dyDescent="0.25">
      <c r="A15" s="7"/>
      <c r="B15" s="7"/>
      <c r="C15" s="7"/>
      <c r="D15" s="7"/>
      <c r="E15" s="7"/>
      <c r="F15" s="7"/>
      <c r="G15" s="7"/>
      <c r="H15" s="7"/>
      <c r="I15" s="7"/>
      <c r="J15" s="7"/>
      <c r="K15" s="7"/>
      <c r="L15" s="7"/>
      <c r="M15" s="7"/>
      <c r="N15" s="7"/>
      <c r="O15" s="7"/>
      <c r="P15" s="7"/>
      <c r="Q15" s="115"/>
      <c r="R15" s="7"/>
      <c r="S15" s="7"/>
    </row>
    <row r="16" spans="1:61" s="10" customFormat="1" ht="15" customHeight="1" x14ac:dyDescent="0.25">
      <c r="A16" s="9"/>
      <c r="B16" s="96"/>
      <c r="C16" s="100" t="s">
        <v>2</v>
      </c>
      <c r="D16" s="125">
        <f>'Balance Sheet'!$D$13</f>
        <v>4755714.7</v>
      </c>
      <c r="E16" s="125">
        <f>D51</f>
        <v>4919101.8417600002</v>
      </c>
      <c r="F16" s="125">
        <f t="shared" ref="F16:N16" si="1">E51</f>
        <v>4431307.76</v>
      </c>
      <c r="G16" s="125">
        <f t="shared" si="1"/>
        <v>4477785.867074999</v>
      </c>
      <c r="H16" s="125">
        <f t="shared" si="1"/>
        <v>4729516.5773749994</v>
      </c>
      <c r="I16" s="125">
        <f t="shared" si="1"/>
        <v>5040128.0900089992</v>
      </c>
      <c r="J16" s="125">
        <f t="shared" si="1"/>
        <v>5521945.790191439</v>
      </c>
      <c r="K16" s="125">
        <f t="shared" si="1"/>
        <v>5723168.891857204</v>
      </c>
      <c r="L16" s="125">
        <f t="shared" si="1"/>
        <v>6065223.4519631267</v>
      </c>
      <c r="M16" s="125">
        <f t="shared" si="1"/>
        <v>6351139.12175183</v>
      </c>
      <c r="N16" s="125">
        <f t="shared" si="1"/>
        <v>7174787.2280419208</v>
      </c>
      <c r="O16" s="125">
        <f>N51</f>
        <v>7252888.2253063368</v>
      </c>
      <c r="P16" s="9"/>
      <c r="Q16" s="115"/>
      <c r="R16" s="9"/>
      <c r="S16" s="9"/>
    </row>
    <row r="17" spans="1:19" s="10" customFormat="1" x14ac:dyDescent="0.25">
      <c r="A17" s="9"/>
      <c r="B17" s="9"/>
      <c r="C17" s="9"/>
      <c r="D17" s="9"/>
      <c r="E17" s="9"/>
      <c r="F17" s="9"/>
      <c r="G17" s="9"/>
      <c r="H17" s="9"/>
      <c r="I17" s="9"/>
      <c r="J17" s="9"/>
      <c r="K17" s="9"/>
      <c r="L17" s="9"/>
      <c r="M17" s="9"/>
      <c r="N17" s="9"/>
      <c r="O17" s="9"/>
      <c r="P17" s="9"/>
      <c r="Q17" s="9"/>
      <c r="R17" s="9"/>
      <c r="S17" s="9"/>
    </row>
    <row r="18" spans="1:19" s="10" customFormat="1" x14ac:dyDescent="0.25">
      <c r="A18" s="9"/>
      <c r="B18" s="96"/>
      <c r="C18" s="100" t="s">
        <v>3</v>
      </c>
      <c r="D18" s="96"/>
      <c r="E18" s="96"/>
      <c r="F18" s="96"/>
      <c r="G18" s="96"/>
      <c r="H18" s="96"/>
      <c r="I18" s="96"/>
      <c r="J18" s="96"/>
      <c r="K18" s="96"/>
      <c r="L18" s="9"/>
      <c r="M18" s="9"/>
      <c r="N18" s="9"/>
      <c r="O18" s="96"/>
      <c r="P18" s="9"/>
      <c r="Q18" s="9"/>
      <c r="R18" s="9"/>
      <c r="S18" s="9"/>
    </row>
    <row r="19" spans="1:19" s="10" customFormat="1" x14ac:dyDescent="0.25">
      <c r="A19" s="9"/>
      <c r="B19" s="102"/>
      <c r="C19" s="103" t="s">
        <v>47</v>
      </c>
      <c r="D19" s="120">
        <f>D12*D13*D14</f>
        <v>1327158.1417600003</v>
      </c>
      <c r="E19" s="120">
        <f>E12*E13*E14</f>
        <v>1386369.8182400002</v>
      </c>
      <c r="F19" s="120">
        <f>F12*F13*F14</f>
        <v>1389886.4670750001</v>
      </c>
      <c r="G19" s="120">
        <f t="shared" ref="G19:O19" si="2">G12*G13*G14</f>
        <v>1475883.2625</v>
      </c>
      <c r="H19" s="120">
        <f t="shared" si="2"/>
        <v>1443732.1887899998</v>
      </c>
      <c r="I19" s="120">
        <f t="shared" si="2"/>
        <v>1455397.6131</v>
      </c>
      <c r="J19" s="120">
        <f t="shared" si="2"/>
        <v>1433863.0887750001</v>
      </c>
      <c r="K19" s="120">
        <f>K12*K13*K14</f>
        <v>1484170.7854500001</v>
      </c>
      <c r="L19" s="120">
        <f t="shared" si="2"/>
        <v>1605173.7271499999</v>
      </c>
      <c r="M19" s="120">
        <f t="shared" si="2"/>
        <v>1697336.8415399997</v>
      </c>
      <c r="N19" s="120">
        <f t="shared" si="2"/>
        <v>1668495.3225600002</v>
      </c>
      <c r="O19" s="120">
        <f t="shared" si="2"/>
        <v>1722638.3750400001</v>
      </c>
      <c r="P19" s="9"/>
      <c r="Q19" s="9"/>
      <c r="R19" s="9"/>
      <c r="S19" s="9"/>
    </row>
    <row r="20" spans="1:19" s="10" customFormat="1" x14ac:dyDescent="0.25">
      <c r="A20" s="9"/>
      <c r="B20" s="102"/>
      <c r="C20" s="103" t="s">
        <v>48</v>
      </c>
      <c r="D20" s="118">
        <v>0</v>
      </c>
      <c r="E20" s="118">
        <v>0</v>
      </c>
      <c r="F20" s="118">
        <v>0</v>
      </c>
      <c r="G20" s="118">
        <v>0</v>
      </c>
      <c r="H20" s="118">
        <v>0</v>
      </c>
      <c r="I20" s="118">
        <v>0</v>
      </c>
      <c r="J20" s="118">
        <v>0</v>
      </c>
      <c r="K20" s="118">
        <v>0</v>
      </c>
      <c r="L20" s="118">
        <v>0</v>
      </c>
      <c r="M20" s="118">
        <v>0</v>
      </c>
      <c r="N20" s="118">
        <v>0</v>
      </c>
      <c r="O20" s="118">
        <v>0</v>
      </c>
      <c r="P20" s="9"/>
      <c r="Q20" s="9"/>
      <c r="R20" s="9"/>
      <c r="S20" s="9"/>
    </row>
    <row r="21" spans="1:19" s="10" customFormat="1" x14ac:dyDescent="0.25">
      <c r="A21" s="9"/>
      <c r="B21" s="102"/>
      <c r="C21" s="103" t="s">
        <v>49</v>
      </c>
      <c r="D21" s="118">
        <v>0</v>
      </c>
      <c r="E21" s="118">
        <v>231450</v>
      </c>
      <c r="F21" s="118">
        <v>0</v>
      </c>
      <c r="G21" s="118">
        <v>0</v>
      </c>
      <c r="H21" s="118">
        <v>0</v>
      </c>
      <c r="I21" s="118">
        <v>256000</v>
      </c>
      <c r="J21" s="118">
        <v>0</v>
      </c>
      <c r="K21" s="118">
        <v>0</v>
      </c>
      <c r="L21" s="118">
        <v>0</v>
      </c>
      <c r="M21" s="118">
        <v>400000</v>
      </c>
      <c r="N21" s="118">
        <v>0</v>
      </c>
      <c r="O21" s="118">
        <v>0</v>
      </c>
      <c r="P21" s="9"/>
      <c r="Q21" s="9"/>
      <c r="R21" s="9"/>
      <c r="S21" s="9"/>
    </row>
    <row r="22" spans="1:19" s="10" customFormat="1" x14ac:dyDescent="0.25">
      <c r="A22" s="9"/>
      <c r="B22" s="102"/>
      <c r="C22" s="103" t="s">
        <v>50</v>
      </c>
      <c r="D22" s="118">
        <v>0</v>
      </c>
      <c r="E22" s="118">
        <v>0</v>
      </c>
      <c r="F22" s="118">
        <v>0</v>
      </c>
      <c r="G22" s="118">
        <v>0</v>
      </c>
      <c r="H22" s="118">
        <v>0</v>
      </c>
      <c r="I22" s="118">
        <v>0</v>
      </c>
      <c r="J22" s="118">
        <v>0</v>
      </c>
      <c r="K22" s="118">
        <v>0</v>
      </c>
      <c r="L22" s="118">
        <v>0</v>
      </c>
      <c r="M22" s="118">
        <v>0</v>
      </c>
      <c r="N22" s="118">
        <v>0</v>
      </c>
      <c r="O22" s="118">
        <v>0</v>
      </c>
      <c r="P22" s="9"/>
      <c r="Q22" s="9"/>
      <c r="R22" s="9"/>
      <c r="S22" s="9"/>
    </row>
    <row r="23" spans="1:19" s="10" customFormat="1" x14ac:dyDescent="0.25">
      <c r="A23" s="9"/>
      <c r="B23" s="96"/>
      <c r="C23" s="8" t="s">
        <v>15</v>
      </c>
      <c r="D23" s="125">
        <f t="shared" ref="D23:O23" si="3">SUM(D19:D22)</f>
        <v>1327158.1417600003</v>
      </c>
      <c r="E23" s="125">
        <f t="shared" si="3"/>
        <v>1617819.8182400002</v>
      </c>
      <c r="F23" s="125">
        <f t="shared" si="3"/>
        <v>1389886.4670750001</v>
      </c>
      <c r="G23" s="125">
        <f>SUM(G19:G22)</f>
        <v>1475883.2625</v>
      </c>
      <c r="H23" s="125">
        <f t="shared" si="3"/>
        <v>1443732.1887899998</v>
      </c>
      <c r="I23" s="125">
        <f t="shared" si="3"/>
        <v>1711397.6131</v>
      </c>
      <c r="J23" s="125">
        <f t="shared" si="3"/>
        <v>1433863.0887750001</v>
      </c>
      <c r="K23" s="125">
        <f t="shared" si="3"/>
        <v>1484170.7854500001</v>
      </c>
      <c r="L23" s="125">
        <f t="shared" si="3"/>
        <v>1605173.7271499999</v>
      </c>
      <c r="M23" s="125">
        <f t="shared" si="3"/>
        <v>2097336.8415399995</v>
      </c>
      <c r="N23" s="125">
        <f t="shared" si="3"/>
        <v>1668495.3225600002</v>
      </c>
      <c r="O23" s="125">
        <f t="shared" si="3"/>
        <v>1722638.3750400001</v>
      </c>
      <c r="P23" s="9"/>
      <c r="Q23" s="9"/>
    </row>
    <row r="24" spans="1:19" s="10" customFormat="1" ht="9.9499999999999993" customHeight="1" x14ac:dyDescent="0.25">
      <c r="A24" s="9"/>
      <c r="B24" s="96"/>
      <c r="C24" s="8"/>
      <c r="D24" s="96"/>
      <c r="E24" s="96"/>
      <c r="F24" s="96"/>
      <c r="G24" s="96"/>
      <c r="H24" s="96"/>
      <c r="I24" s="96"/>
      <c r="J24" s="96"/>
      <c r="K24" s="96"/>
      <c r="L24" s="96"/>
      <c r="M24" s="96"/>
      <c r="N24" s="96"/>
      <c r="O24" s="96"/>
      <c r="P24" s="9"/>
      <c r="Q24" s="9"/>
    </row>
    <row r="25" spans="1:19" s="12" customFormat="1" x14ac:dyDescent="0.25">
      <c r="A25" s="8"/>
      <c r="B25" s="105"/>
      <c r="C25" s="8" t="s">
        <v>4</v>
      </c>
      <c r="D25" s="125">
        <f>D16+D23</f>
        <v>6082872.8417600002</v>
      </c>
      <c r="E25" s="125">
        <f t="shared" ref="E25:O25" si="4">E16+E23</f>
        <v>6536921.6600000001</v>
      </c>
      <c r="F25" s="125">
        <f t="shared" si="4"/>
        <v>5821194.2270749994</v>
      </c>
      <c r="G25" s="125">
        <f t="shared" si="4"/>
        <v>5953669.1295749992</v>
      </c>
      <c r="H25" s="125">
        <f t="shared" si="4"/>
        <v>6173248.7661649995</v>
      </c>
      <c r="I25" s="125">
        <f t="shared" si="4"/>
        <v>6751525.7031089989</v>
      </c>
      <c r="J25" s="125">
        <f t="shared" si="4"/>
        <v>6955808.8789664395</v>
      </c>
      <c r="K25" s="125">
        <f t="shared" si="4"/>
        <v>7207339.6773072043</v>
      </c>
      <c r="L25" s="125">
        <f t="shared" si="4"/>
        <v>7670397.1791131264</v>
      </c>
      <c r="M25" s="125">
        <f t="shared" si="4"/>
        <v>8448475.9632918295</v>
      </c>
      <c r="N25" s="125">
        <f t="shared" si="4"/>
        <v>8843282.550601922</v>
      </c>
      <c r="O25" s="125">
        <f t="shared" si="4"/>
        <v>8975526.6003463361</v>
      </c>
      <c r="P25" s="8"/>
      <c r="Q25" s="8"/>
      <c r="S25" s="8"/>
    </row>
    <row r="26" spans="1:19" s="12" customFormat="1" x14ac:dyDescent="0.25">
      <c r="A26" s="8"/>
      <c r="B26" s="8"/>
      <c r="C26" s="8"/>
      <c r="D26" s="8"/>
      <c r="E26" s="8"/>
      <c r="F26" s="8"/>
      <c r="G26" s="8"/>
      <c r="H26" s="8"/>
      <c r="I26" s="8"/>
      <c r="J26" s="8"/>
      <c r="K26" s="8"/>
      <c r="L26" s="8"/>
      <c r="M26" s="8"/>
      <c r="N26" s="8"/>
      <c r="O26" s="8"/>
      <c r="P26" s="8"/>
      <c r="Q26" s="8"/>
    </row>
    <row r="27" spans="1:19" s="10" customFormat="1" x14ac:dyDescent="0.25">
      <c r="A27" s="9"/>
      <c r="B27" s="102"/>
      <c r="C27" s="100" t="s">
        <v>5</v>
      </c>
      <c r="D27" s="106"/>
      <c r="E27" s="96"/>
      <c r="F27" s="106"/>
      <c r="G27" s="96"/>
      <c r="H27" s="106"/>
      <c r="I27" s="96"/>
      <c r="J27" s="106"/>
      <c r="K27" s="96"/>
      <c r="L27" s="106"/>
      <c r="M27" s="96"/>
      <c r="N27" s="106"/>
      <c r="O27" s="96"/>
      <c r="P27" s="9"/>
      <c r="Q27" s="9"/>
    </row>
    <row r="28" spans="1:19" s="10" customFormat="1" x14ac:dyDescent="0.25">
      <c r="A28" s="9"/>
      <c r="B28" s="102"/>
      <c r="C28" s="103" t="s">
        <v>6</v>
      </c>
      <c r="D28" s="120">
        <f>'P&amp;L'!F57+'P&amp;L'!F58+'P&amp;L'!F59</f>
        <v>1010820</v>
      </c>
      <c r="E28" s="120">
        <f>'P&amp;L'!G57+'P&amp;L'!G58+'P&amp;L'!G59</f>
        <v>1050924</v>
      </c>
      <c r="F28" s="120">
        <f>'P&amp;L'!H57+'P&amp;L'!H58+'P&amp;L'!H59</f>
        <v>1038054</v>
      </c>
      <c r="G28" s="120">
        <f>'P&amp;L'!I57+'P&amp;L'!I58+'P&amp;L'!I59</f>
        <v>1004496</v>
      </c>
      <c r="H28" s="120">
        <f>'P&amp;L'!J57+'P&amp;L'!J58+'P&amp;L'!J59</f>
        <v>1013778</v>
      </c>
      <c r="I28" s="120">
        <f>'P&amp;L'!K57+'P&amp;L'!K58+'P&amp;L'!K59</f>
        <v>1028670</v>
      </c>
      <c r="J28" s="120">
        <f>'P&amp;L'!L57+'P&amp;L'!L58+'P&amp;L'!L59</f>
        <v>1049172</v>
      </c>
      <c r="K28" s="120">
        <f>'P&amp;L'!M57+'P&amp;L'!M58+'P&amp;L'!M59</f>
        <v>1020510</v>
      </c>
      <c r="L28" s="120">
        <f>'P&amp;L'!N57+'P&amp;L'!N58+'P&amp;L'!N59</f>
        <v>997662</v>
      </c>
      <c r="M28" s="120">
        <f>'P&amp;L'!O57+'P&amp;L'!O58+'P&amp;L'!O59</f>
        <v>1015818</v>
      </c>
      <c r="N28" s="120">
        <f>'P&amp;L'!P57+'P&amp;L'!P58+'P&amp;L'!P59</f>
        <v>1019082</v>
      </c>
      <c r="O28" s="120">
        <f>'P&amp;L'!Q57+'P&amp;L'!Q58+'P&amp;L'!Q59</f>
        <v>1043052</v>
      </c>
      <c r="P28" s="9"/>
      <c r="Q28" s="9"/>
    </row>
    <row r="29" spans="1:19" s="10" customFormat="1" x14ac:dyDescent="0.25">
      <c r="A29" s="9"/>
      <c r="B29" s="96"/>
      <c r="C29" s="103" t="s">
        <v>7</v>
      </c>
      <c r="D29" s="120">
        <v>0</v>
      </c>
      <c r="E29" s="120">
        <f>'P&amp;L'!$D$61</f>
        <v>612930.4</v>
      </c>
      <c r="F29" s="120">
        <v>0</v>
      </c>
      <c r="G29" s="120">
        <v>0</v>
      </c>
      <c r="H29" s="120">
        <v>0</v>
      </c>
      <c r="I29" s="120">
        <v>0</v>
      </c>
      <c r="J29" s="120">
        <v>0</v>
      </c>
      <c r="K29" s="120">
        <v>0</v>
      </c>
      <c r="L29" s="120">
        <v>0</v>
      </c>
      <c r="M29" s="120">
        <v>0</v>
      </c>
      <c r="N29" s="120">
        <v>0</v>
      </c>
      <c r="O29" s="120">
        <v>0</v>
      </c>
      <c r="P29" s="9"/>
      <c r="Q29" s="9"/>
    </row>
    <row r="30" spans="1:19" s="10" customFormat="1" x14ac:dyDescent="0.25">
      <c r="A30" s="9"/>
      <c r="B30" s="96"/>
      <c r="C30" s="103" t="s">
        <v>8</v>
      </c>
      <c r="D30" s="118">
        <v>0</v>
      </c>
      <c r="E30" s="118">
        <v>0</v>
      </c>
      <c r="F30" s="118">
        <v>0</v>
      </c>
      <c r="G30" s="118">
        <v>0</v>
      </c>
      <c r="H30" s="118">
        <v>0</v>
      </c>
      <c r="I30" s="118">
        <v>0</v>
      </c>
      <c r="J30" s="118">
        <v>0</v>
      </c>
      <c r="K30" s="118">
        <v>0</v>
      </c>
      <c r="L30" s="118">
        <v>0</v>
      </c>
      <c r="M30" s="118">
        <v>0</v>
      </c>
      <c r="N30" s="118">
        <v>0</v>
      </c>
      <c r="O30" s="118">
        <v>0</v>
      </c>
      <c r="P30" s="9"/>
      <c r="Q30" s="9"/>
    </row>
    <row r="31" spans="1:19" s="10" customFormat="1" x14ac:dyDescent="0.25">
      <c r="A31" s="9"/>
      <c r="B31" s="96"/>
      <c r="C31" s="103" t="s">
        <v>9</v>
      </c>
      <c r="D31" s="118">
        <v>12500</v>
      </c>
      <c r="E31" s="118">
        <f>D31*1.05</f>
        <v>13125</v>
      </c>
      <c r="F31" s="118">
        <f>E31*1.05</f>
        <v>13781.25</v>
      </c>
      <c r="G31" s="118">
        <f>F31*2</f>
        <v>27562.5</v>
      </c>
      <c r="H31" s="118">
        <f>G31*1.01</f>
        <v>27838.125</v>
      </c>
      <c r="I31" s="118">
        <f>H31*1.01</f>
        <v>28116.506249999999</v>
      </c>
      <c r="J31" s="118">
        <f>I31*1.02</f>
        <v>28678.836374999999</v>
      </c>
      <c r="K31" s="118">
        <f>J31*1.02</f>
        <v>29252.413102499999</v>
      </c>
      <c r="L31" s="118">
        <f>K31*1.02</f>
        <v>29837.461364549999</v>
      </c>
      <c r="M31" s="118">
        <f>L31/2</f>
        <v>14918.730682275</v>
      </c>
      <c r="N31" s="118">
        <f>M31</f>
        <v>14918.730682275</v>
      </c>
      <c r="O31" s="118">
        <f>N31</f>
        <v>14918.730682275</v>
      </c>
      <c r="P31" s="9"/>
      <c r="Q31" s="9"/>
    </row>
    <row r="32" spans="1:19" s="10" customFormat="1" x14ac:dyDescent="0.25">
      <c r="A32" s="9"/>
      <c r="B32" s="9"/>
      <c r="C32" s="103" t="s">
        <v>10</v>
      </c>
      <c r="D32" s="118">
        <v>0</v>
      </c>
      <c r="E32" s="118">
        <v>0</v>
      </c>
      <c r="F32" s="118">
        <f>35000</f>
        <v>35000</v>
      </c>
      <c r="G32" s="118">
        <v>0</v>
      </c>
      <c r="H32" s="118">
        <v>0</v>
      </c>
      <c r="I32" s="118">
        <v>0</v>
      </c>
      <c r="J32" s="118">
        <v>0</v>
      </c>
      <c r="K32" s="118">
        <v>0</v>
      </c>
      <c r="L32" s="118">
        <v>100000</v>
      </c>
      <c r="M32" s="118">
        <v>0</v>
      </c>
      <c r="N32" s="118">
        <v>0</v>
      </c>
      <c r="O32" s="118">
        <v>10000</v>
      </c>
      <c r="P32" s="9"/>
      <c r="Q32" s="9"/>
    </row>
    <row r="33" spans="1:17" s="10" customFormat="1" x14ac:dyDescent="0.25">
      <c r="A33" s="9"/>
      <c r="B33" s="102"/>
      <c r="C33" s="103" t="s">
        <v>11</v>
      </c>
      <c r="D33" s="118">
        <f>'P&amp;L'!F30</f>
        <v>27775</v>
      </c>
      <c r="E33" s="118">
        <f>'P&amp;L'!G30</f>
        <v>28330.5</v>
      </c>
      <c r="F33" s="118">
        <f>'P&amp;L'!H30</f>
        <v>28897.11</v>
      </c>
      <c r="G33" s="118">
        <f>'P&amp;L'!I30</f>
        <v>29475.052200000002</v>
      </c>
      <c r="H33" s="118">
        <f>'P&amp;L'!J30</f>
        <v>28885.551156000001</v>
      </c>
      <c r="I33" s="118">
        <f>'P&amp;L'!K30</f>
        <v>29174.406667560001</v>
      </c>
      <c r="J33" s="118">
        <f>'P&amp;L'!L30</f>
        <v>29466.150734235602</v>
      </c>
      <c r="K33" s="118">
        <f>'P&amp;L'!M30</f>
        <v>29760.812241577958</v>
      </c>
      <c r="L33" s="118">
        <f>'P&amp;L'!N30</f>
        <v>29165.595996746397</v>
      </c>
      <c r="M33" s="118">
        <f>'P&amp;L'!O30</f>
        <v>30359.004567633674</v>
      </c>
      <c r="N33" s="118">
        <f>'P&amp;L'!P30</f>
        <v>30662.594613310011</v>
      </c>
      <c r="O33" s="118">
        <f>'P&amp;L'!Q30</f>
        <v>30969.220559443111</v>
      </c>
      <c r="P33" s="9"/>
      <c r="Q33" s="9"/>
    </row>
    <row r="34" spans="1:17" s="10" customFormat="1" x14ac:dyDescent="0.25">
      <c r="A34" s="9"/>
      <c r="B34" s="102"/>
      <c r="C34" s="103" t="s">
        <v>39</v>
      </c>
      <c r="D34" s="118">
        <v>0</v>
      </c>
      <c r="E34" s="118">
        <v>0</v>
      </c>
      <c r="F34" s="118">
        <v>0</v>
      </c>
      <c r="G34" s="118">
        <v>100000</v>
      </c>
      <c r="H34" s="118">
        <v>0</v>
      </c>
      <c r="I34" s="118">
        <v>0</v>
      </c>
      <c r="J34" s="118">
        <v>0</v>
      </c>
      <c r="K34" s="118">
        <v>0</v>
      </c>
      <c r="L34" s="118">
        <v>0</v>
      </c>
      <c r="M34" s="118">
        <v>0</v>
      </c>
      <c r="N34" s="118">
        <v>100000</v>
      </c>
      <c r="O34" s="118">
        <v>100000</v>
      </c>
      <c r="P34" s="9"/>
      <c r="Q34" s="9"/>
    </row>
    <row r="35" spans="1:17" s="10" customFormat="1" x14ac:dyDescent="0.25">
      <c r="A35" s="9"/>
      <c r="B35" s="96"/>
      <c r="C35" s="103" t="s">
        <v>40</v>
      </c>
      <c r="D35" s="118">
        <v>0</v>
      </c>
      <c r="E35" s="118">
        <v>250000</v>
      </c>
      <c r="F35" s="118">
        <v>0</v>
      </c>
      <c r="G35" s="118">
        <v>0</v>
      </c>
      <c r="H35" s="118">
        <v>0</v>
      </c>
      <c r="I35" s="118">
        <v>0</v>
      </c>
      <c r="J35" s="118">
        <v>0</v>
      </c>
      <c r="K35" s="118">
        <v>0</v>
      </c>
      <c r="L35" s="118">
        <v>0</v>
      </c>
      <c r="M35" s="118">
        <v>0</v>
      </c>
      <c r="N35" s="118">
        <v>250000</v>
      </c>
      <c r="O35" s="118">
        <v>0</v>
      </c>
      <c r="P35" s="9"/>
      <c r="Q35" s="9"/>
    </row>
    <row r="36" spans="1:17" s="10" customFormat="1" x14ac:dyDescent="0.25">
      <c r="A36" s="9"/>
      <c r="B36" s="96"/>
      <c r="C36" s="103" t="s">
        <v>12</v>
      </c>
      <c r="D36" s="118">
        <v>0</v>
      </c>
      <c r="E36" s="118">
        <f>'P&amp;L'!F59</f>
        <v>62628</v>
      </c>
      <c r="F36" s="118">
        <v>0</v>
      </c>
      <c r="G36" s="118">
        <v>0</v>
      </c>
      <c r="H36" s="118">
        <v>0</v>
      </c>
      <c r="I36" s="118">
        <v>0</v>
      </c>
      <c r="J36" s="118">
        <f>'P&amp;L'!G59</f>
        <v>62730</v>
      </c>
      <c r="K36" s="118">
        <v>0</v>
      </c>
      <c r="L36" s="118">
        <v>0</v>
      </c>
      <c r="M36" s="118">
        <v>0</v>
      </c>
      <c r="N36" s="118">
        <f>'P&amp;L'!H59</f>
        <v>63138</v>
      </c>
      <c r="O36" s="118">
        <v>0</v>
      </c>
      <c r="P36" s="9"/>
      <c r="Q36" s="9"/>
    </row>
    <row r="37" spans="1:17" s="10" customFormat="1" x14ac:dyDescent="0.25">
      <c r="A37" s="9"/>
      <c r="B37" s="96"/>
      <c r="C37" s="103" t="s">
        <v>13</v>
      </c>
      <c r="D37" s="118">
        <v>50000</v>
      </c>
      <c r="E37" s="118">
        <v>0</v>
      </c>
      <c r="F37" s="118">
        <v>0</v>
      </c>
      <c r="G37" s="118">
        <v>0</v>
      </c>
      <c r="H37" s="118">
        <v>0</v>
      </c>
      <c r="I37" s="118">
        <v>0</v>
      </c>
      <c r="J37" s="118">
        <v>0</v>
      </c>
      <c r="K37" s="118">
        <v>0</v>
      </c>
      <c r="L37" s="118">
        <v>50000</v>
      </c>
      <c r="M37" s="118">
        <v>0</v>
      </c>
      <c r="N37" s="118">
        <v>0</v>
      </c>
      <c r="O37" s="118">
        <v>0</v>
      </c>
      <c r="P37" s="9"/>
      <c r="Q37" s="9"/>
    </row>
    <row r="38" spans="1:17" s="10" customFormat="1" x14ac:dyDescent="0.25">
      <c r="A38" s="9"/>
      <c r="B38" s="96"/>
      <c r="C38" s="103" t="s">
        <v>14</v>
      </c>
      <c r="D38" s="118">
        <v>0</v>
      </c>
      <c r="E38" s="118">
        <v>25000</v>
      </c>
      <c r="F38" s="118">
        <v>0</v>
      </c>
      <c r="G38" s="118">
        <v>0</v>
      </c>
      <c r="H38" s="118">
        <v>0</v>
      </c>
      <c r="I38" s="118">
        <v>0</v>
      </c>
      <c r="J38" s="118">
        <v>0</v>
      </c>
      <c r="K38" s="118">
        <v>0</v>
      </c>
      <c r="L38" s="118">
        <v>0</v>
      </c>
      <c r="M38" s="118">
        <v>0</v>
      </c>
      <c r="N38" s="118">
        <v>0</v>
      </c>
      <c r="O38" s="118">
        <v>0</v>
      </c>
      <c r="P38" s="9"/>
      <c r="Q38" s="9"/>
    </row>
    <row r="39" spans="1:17" s="10" customFormat="1" x14ac:dyDescent="0.25">
      <c r="A39" s="9"/>
      <c r="B39" s="102"/>
      <c r="C39" s="103" t="s">
        <v>41</v>
      </c>
      <c r="D39" s="118">
        <v>50000</v>
      </c>
      <c r="E39" s="118">
        <v>50000</v>
      </c>
      <c r="F39" s="118">
        <v>50000</v>
      </c>
      <c r="G39" s="118">
        <v>50000</v>
      </c>
      <c r="H39" s="118">
        <v>50000</v>
      </c>
      <c r="I39" s="118">
        <v>50000</v>
      </c>
      <c r="J39" s="118">
        <v>50000</v>
      </c>
      <c r="K39" s="118">
        <v>50000</v>
      </c>
      <c r="L39" s="118">
        <v>100000</v>
      </c>
      <c r="M39" s="118">
        <f>L39</f>
        <v>100000</v>
      </c>
      <c r="N39" s="118">
        <v>100000</v>
      </c>
      <c r="O39" s="118">
        <v>100000</v>
      </c>
      <c r="P39" s="9"/>
      <c r="Q39" s="9"/>
    </row>
    <row r="40" spans="1:17" s="12" customFormat="1" x14ac:dyDescent="0.25">
      <c r="A40" s="8"/>
      <c r="B40" s="101"/>
      <c r="C40" s="70" t="s">
        <v>52</v>
      </c>
      <c r="D40" s="125">
        <f>SUM(D28:D39)</f>
        <v>1151095</v>
      </c>
      <c r="E40" s="125">
        <f t="shared" ref="E40:O40" si="5">SUM(E28:E39)</f>
        <v>2092937.9</v>
      </c>
      <c r="F40" s="125">
        <f t="shared" si="5"/>
        <v>1165732.3600000001</v>
      </c>
      <c r="G40" s="125">
        <f t="shared" si="5"/>
        <v>1211533.5522</v>
      </c>
      <c r="H40" s="125">
        <f t="shared" si="5"/>
        <v>1120501.676156</v>
      </c>
      <c r="I40" s="125">
        <f t="shared" si="5"/>
        <v>1135960.9129175602</v>
      </c>
      <c r="J40" s="125">
        <f t="shared" si="5"/>
        <v>1220046.9871092355</v>
      </c>
      <c r="K40" s="125">
        <f t="shared" si="5"/>
        <v>1129523.2253440779</v>
      </c>
      <c r="L40" s="125">
        <f t="shared" si="5"/>
        <v>1306665.0573612964</v>
      </c>
      <c r="M40" s="125">
        <f t="shared" si="5"/>
        <v>1161095.7352499086</v>
      </c>
      <c r="N40" s="125">
        <f t="shared" si="5"/>
        <v>1577801.325295585</v>
      </c>
      <c r="O40" s="125">
        <f t="shared" si="5"/>
        <v>1298939.9512417181</v>
      </c>
      <c r="P40" s="8"/>
      <c r="Q40" s="8"/>
    </row>
    <row r="41" spans="1:17" s="10" customFormat="1" x14ac:dyDescent="0.25">
      <c r="A41" s="9"/>
      <c r="B41" s="9"/>
      <c r="C41" s="9"/>
      <c r="D41" s="9"/>
      <c r="E41" s="9"/>
      <c r="F41" s="9"/>
      <c r="G41" s="9"/>
      <c r="H41" s="9"/>
      <c r="I41" s="9"/>
      <c r="J41" s="9"/>
      <c r="K41" s="9"/>
      <c r="L41" s="9"/>
      <c r="M41" s="9"/>
      <c r="N41" s="9"/>
      <c r="O41" s="9"/>
      <c r="P41" s="9"/>
      <c r="Q41" s="9"/>
    </row>
    <row r="42" spans="1:17" s="10" customFormat="1" x14ac:dyDescent="0.25">
      <c r="A42" s="9"/>
      <c r="B42" s="9"/>
      <c r="C42" s="108" t="s">
        <v>42</v>
      </c>
      <c r="D42" s="9"/>
      <c r="E42" s="9"/>
      <c r="F42" s="9"/>
      <c r="G42" s="9"/>
      <c r="H42" s="9"/>
      <c r="I42" s="9"/>
      <c r="J42" s="9"/>
      <c r="K42" s="9"/>
      <c r="L42" s="9"/>
      <c r="M42" s="9"/>
      <c r="N42" s="9"/>
      <c r="O42" s="9"/>
      <c r="P42" s="9"/>
      <c r="Q42" s="9"/>
    </row>
    <row r="43" spans="1:17" s="10" customFormat="1" x14ac:dyDescent="0.25">
      <c r="A43" s="9"/>
      <c r="B43" s="96"/>
      <c r="C43" s="103" t="s">
        <v>16</v>
      </c>
      <c r="D43" s="118">
        <v>12169</v>
      </c>
      <c r="E43" s="118">
        <v>12169</v>
      </c>
      <c r="F43" s="118">
        <v>12169</v>
      </c>
      <c r="G43" s="118">
        <v>12169</v>
      </c>
      <c r="H43" s="118">
        <v>12169</v>
      </c>
      <c r="I43" s="118">
        <v>12169</v>
      </c>
      <c r="J43" s="118">
        <v>12169</v>
      </c>
      <c r="K43" s="118">
        <v>12169</v>
      </c>
      <c r="L43" s="118">
        <v>12169</v>
      </c>
      <c r="M43" s="118">
        <v>12169</v>
      </c>
      <c r="N43" s="118">
        <v>12169</v>
      </c>
      <c r="O43" s="118">
        <v>12169</v>
      </c>
      <c r="P43" s="9"/>
      <c r="Q43" s="9"/>
    </row>
    <row r="44" spans="1:17" s="10" customFormat="1" x14ac:dyDescent="0.25">
      <c r="A44" s="9"/>
      <c r="B44" s="96"/>
      <c r="C44" s="103" t="s">
        <v>17</v>
      </c>
      <c r="D44" s="118">
        <v>507</v>
      </c>
      <c r="E44" s="118">
        <v>507</v>
      </c>
      <c r="F44" s="118">
        <v>507</v>
      </c>
      <c r="G44" s="118">
        <v>450</v>
      </c>
      <c r="H44" s="118">
        <v>450</v>
      </c>
      <c r="I44" s="118">
        <v>450</v>
      </c>
      <c r="J44" s="118">
        <v>424</v>
      </c>
      <c r="K44" s="118">
        <v>424</v>
      </c>
      <c r="L44" s="118">
        <v>424</v>
      </c>
      <c r="M44" s="118">
        <v>424</v>
      </c>
      <c r="N44" s="118">
        <v>424</v>
      </c>
      <c r="O44" s="118">
        <v>424</v>
      </c>
      <c r="P44" s="9"/>
      <c r="Q44" s="9"/>
    </row>
    <row r="45" spans="1:17" s="10" customFormat="1" x14ac:dyDescent="0.25">
      <c r="A45" s="9"/>
      <c r="B45" s="96"/>
      <c r="C45" s="103" t="s">
        <v>21</v>
      </c>
      <c r="D45" s="118"/>
      <c r="E45" s="118"/>
      <c r="F45" s="118">
        <v>165000</v>
      </c>
      <c r="G45" s="118"/>
      <c r="H45" s="118"/>
      <c r="I45" s="118">
        <v>81000</v>
      </c>
      <c r="J45" s="118"/>
      <c r="K45" s="118"/>
      <c r="L45" s="118"/>
      <c r="M45" s="118">
        <v>100000</v>
      </c>
      <c r="N45" s="118"/>
      <c r="O45" s="118"/>
      <c r="P45" s="9"/>
      <c r="Q45" s="9"/>
    </row>
    <row r="46" spans="1:17" s="10" customFormat="1" x14ac:dyDescent="0.25">
      <c r="A46" s="9"/>
      <c r="B46" s="9"/>
      <c r="C46" s="9"/>
      <c r="D46" s="9"/>
      <c r="E46" s="9"/>
      <c r="F46" s="9"/>
      <c r="G46" s="9"/>
      <c r="H46" s="9"/>
      <c r="I46" s="9"/>
      <c r="J46" s="9"/>
      <c r="K46" s="9"/>
      <c r="L46" s="9"/>
      <c r="M46" s="9"/>
      <c r="N46" s="9"/>
      <c r="O46" s="9"/>
      <c r="P46" s="9"/>
      <c r="Q46" s="9"/>
    </row>
    <row r="47" spans="1:17" s="10" customFormat="1" x14ac:dyDescent="0.25">
      <c r="A47" s="9"/>
      <c r="B47" s="96"/>
      <c r="C47" s="70" t="s">
        <v>51</v>
      </c>
      <c r="D47" s="125">
        <f>SUM(D43:D45)</f>
        <v>12676</v>
      </c>
      <c r="E47" s="125">
        <f t="shared" ref="E47:O47" si="6">SUM(E43:E45)</f>
        <v>12676</v>
      </c>
      <c r="F47" s="125">
        <f t="shared" si="6"/>
        <v>177676</v>
      </c>
      <c r="G47" s="125">
        <f t="shared" si="6"/>
        <v>12619</v>
      </c>
      <c r="H47" s="125">
        <f t="shared" si="6"/>
        <v>12619</v>
      </c>
      <c r="I47" s="125">
        <f t="shared" si="6"/>
        <v>93619</v>
      </c>
      <c r="J47" s="125">
        <f t="shared" si="6"/>
        <v>12593</v>
      </c>
      <c r="K47" s="125">
        <f t="shared" si="6"/>
        <v>12593</v>
      </c>
      <c r="L47" s="125">
        <f t="shared" si="6"/>
        <v>12593</v>
      </c>
      <c r="M47" s="125">
        <f t="shared" si="6"/>
        <v>112593</v>
      </c>
      <c r="N47" s="125">
        <f t="shared" si="6"/>
        <v>12593</v>
      </c>
      <c r="O47" s="125">
        <f t="shared" si="6"/>
        <v>12593</v>
      </c>
      <c r="P47" s="9"/>
      <c r="Q47" s="9"/>
    </row>
    <row r="48" spans="1:17" s="10" customFormat="1" x14ac:dyDescent="0.25">
      <c r="A48" s="9"/>
      <c r="B48" s="9"/>
      <c r="C48" s="9"/>
      <c r="D48" s="9"/>
      <c r="E48" s="9"/>
      <c r="F48" s="9"/>
      <c r="G48" s="9"/>
      <c r="H48" s="9"/>
      <c r="I48" s="9"/>
      <c r="J48" s="9"/>
      <c r="K48" s="9"/>
      <c r="L48" s="9"/>
      <c r="M48" s="9"/>
      <c r="N48" s="9"/>
      <c r="O48" s="9"/>
      <c r="P48" s="9"/>
      <c r="Q48" s="9"/>
    </row>
    <row r="49" spans="1:17" s="10" customFormat="1" x14ac:dyDescent="0.25">
      <c r="A49" s="9"/>
      <c r="B49" s="96"/>
      <c r="C49" s="8" t="s">
        <v>20</v>
      </c>
      <c r="D49" s="125">
        <f>D47+D40</f>
        <v>1163771</v>
      </c>
      <c r="E49" s="125">
        <f t="shared" ref="E49:O49" si="7">E47+E40</f>
        <v>2105613.9</v>
      </c>
      <c r="F49" s="125">
        <f t="shared" si="7"/>
        <v>1343408.36</v>
      </c>
      <c r="G49" s="125">
        <f t="shared" si="7"/>
        <v>1224152.5522</v>
      </c>
      <c r="H49" s="125">
        <f t="shared" si="7"/>
        <v>1133120.676156</v>
      </c>
      <c r="I49" s="125">
        <f t="shared" si="7"/>
        <v>1229579.9129175602</v>
      </c>
      <c r="J49" s="125">
        <f t="shared" si="7"/>
        <v>1232639.9871092355</v>
      </c>
      <c r="K49" s="125">
        <f t="shared" si="7"/>
        <v>1142116.2253440779</v>
      </c>
      <c r="L49" s="125">
        <f t="shared" si="7"/>
        <v>1319258.0573612964</v>
      </c>
      <c r="M49" s="125">
        <f t="shared" si="7"/>
        <v>1273688.7352499086</v>
      </c>
      <c r="N49" s="125">
        <f t="shared" si="7"/>
        <v>1590394.325295585</v>
      </c>
      <c r="O49" s="125">
        <f t="shared" si="7"/>
        <v>1311532.9512417181</v>
      </c>
      <c r="P49" s="9"/>
      <c r="Q49" s="9"/>
    </row>
    <row r="50" spans="1:17" s="10" customFormat="1" x14ac:dyDescent="0.25">
      <c r="A50" s="9"/>
      <c r="B50" s="9"/>
      <c r="C50" s="9"/>
      <c r="D50" s="9"/>
      <c r="E50" s="9"/>
      <c r="F50" s="9"/>
      <c r="G50" s="9"/>
      <c r="H50" s="9"/>
      <c r="I50" s="9"/>
      <c r="J50" s="9"/>
      <c r="K50" s="9"/>
      <c r="L50" s="9"/>
      <c r="M50" s="9"/>
      <c r="N50" s="9"/>
      <c r="O50" s="9"/>
      <c r="P50" s="9"/>
      <c r="Q50" s="9"/>
    </row>
    <row r="51" spans="1:17" s="12" customFormat="1" x14ac:dyDescent="0.25">
      <c r="A51" s="8"/>
      <c r="B51" s="109"/>
      <c r="C51" s="8" t="s">
        <v>18</v>
      </c>
      <c r="D51" s="125">
        <f>D16+D23-D49</f>
        <v>4919101.8417600002</v>
      </c>
      <c r="E51" s="125">
        <f t="shared" ref="E51:N51" si="8">E16+E23-E49</f>
        <v>4431307.76</v>
      </c>
      <c r="F51" s="125">
        <f t="shared" si="8"/>
        <v>4477785.867074999</v>
      </c>
      <c r="G51" s="125">
        <f t="shared" si="8"/>
        <v>4729516.5773749994</v>
      </c>
      <c r="H51" s="125">
        <f t="shared" si="8"/>
        <v>5040128.0900089992</v>
      </c>
      <c r="I51" s="125">
        <f t="shared" si="8"/>
        <v>5521945.790191439</v>
      </c>
      <c r="J51" s="125">
        <f t="shared" si="8"/>
        <v>5723168.891857204</v>
      </c>
      <c r="K51" s="125">
        <f t="shared" si="8"/>
        <v>6065223.4519631267</v>
      </c>
      <c r="L51" s="125">
        <f t="shared" si="8"/>
        <v>6351139.12175183</v>
      </c>
      <c r="M51" s="125">
        <f t="shared" si="8"/>
        <v>7174787.2280419208</v>
      </c>
      <c r="N51" s="125">
        <f t="shared" si="8"/>
        <v>7252888.2253063368</v>
      </c>
      <c r="O51" s="125">
        <f>O16+O23-O49</f>
        <v>7663993.6491046175</v>
      </c>
      <c r="P51" s="8"/>
      <c r="Q51" s="8"/>
    </row>
    <row r="52" spans="1:17" s="10" customFormat="1" x14ac:dyDescent="0.25">
      <c r="A52" s="9"/>
      <c r="B52" s="9"/>
      <c r="C52" s="9"/>
      <c r="D52" s="110" t="str">
        <f>IF(D51=D16+D23-D49,"F","ERROR")</f>
        <v>F</v>
      </c>
      <c r="E52" s="110" t="str">
        <f t="shared" ref="E52:O52" si="9">IF(E51=E16+E23-E49,"F","ERROR")</f>
        <v>F</v>
      </c>
      <c r="F52" s="110" t="str">
        <f t="shared" si="9"/>
        <v>F</v>
      </c>
      <c r="G52" s="110" t="str">
        <f t="shared" si="9"/>
        <v>F</v>
      </c>
      <c r="H52" s="110" t="str">
        <f t="shared" si="9"/>
        <v>F</v>
      </c>
      <c r="I52" s="110" t="str">
        <f t="shared" si="9"/>
        <v>F</v>
      </c>
      <c r="J52" s="110" t="str">
        <f t="shared" si="9"/>
        <v>F</v>
      </c>
      <c r="K52" s="110" t="str">
        <f t="shared" si="9"/>
        <v>F</v>
      </c>
      <c r="L52" s="110" t="str">
        <f t="shared" si="9"/>
        <v>F</v>
      </c>
      <c r="M52" s="110" t="str">
        <f t="shared" si="9"/>
        <v>F</v>
      </c>
      <c r="N52" s="110" t="str">
        <f t="shared" si="9"/>
        <v>F</v>
      </c>
      <c r="O52" s="110" t="str">
        <f t="shared" si="9"/>
        <v>F</v>
      </c>
      <c r="P52" s="9"/>
    </row>
    <row r="53" spans="1:17" s="10" customFormat="1" x14ac:dyDescent="0.25">
      <c r="A53" s="9"/>
      <c r="B53" s="9"/>
      <c r="C53" s="9"/>
      <c r="D53" s="111"/>
      <c r="E53" s="9"/>
      <c r="F53" s="9"/>
      <c r="G53" s="9"/>
      <c r="H53" s="9"/>
      <c r="I53" s="9"/>
      <c r="J53" s="9"/>
      <c r="K53" s="9"/>
      <c r="L53" s="9"/>
      <c r="M53" s="9"/>
      <c r="N53" s="9"/>
      <c r="O53" s="9"/>
      <c r="P53" s="9"/>
    </row>
    <row r="54" spans="1:17" x14ac:dyDescent="0.25">
      <c r="B54" s="3"/>
      <c r="C54" s="3"/>
      <c r="D54" s="3"/>
    </row>
    <row r="55" spans="1:17" x14ac:dyDescent="0.25">
      <c r="B55" s="3"/>
      <c r="C55" s="3"/>
      <c r="D55" s="3"/>
    </row>
    <row r="56" spans="1:17" x14ac:dyDescent="0.25">
      <c r="B56" s="3"/>
      <c r="C56" s="3"/>
      <c r="D56" s="3"/>
    </row>
    <row r="57" spans="1:17" x14ac:dyDescent="0.25">
      <c r="B57" s="3"/>
      <c r="C57" s="3"/>
      <c r="D57" s="3"/>
    </row>
    <row r="58" spans="1:17" x14ac:dyDescent="0.25">
      <c r="B58" s="3"/>
      <c r="C58" s="3"/>
      <c r="D58" s="3"/>
    </row>
    <row r="59" spans="1:17" x14ac:dyDescent="0.25">
      <c r="B59" s="3"/>
      <c r="C59" s="3"/>
      <c r="D59" s="3"/>
    </row>
    <row r="60" spans="1:17" x14ac:dyDescent="0.25">
      <c r="B60" s="3"/>
      <c r="C60" s="3"/>
      <c r="D60" s="3"/>
    </row>
    <row r="61" spans="1:17" x14ac:dyDescent="0.25">
      <c r="B61" s="3"/>
      <c r="C61" s="3"/>
      <c r="D61" s="3"/>
    </row>
    <row r="62" spans="1:17" x14ac:dyDescent="0.25">
      <c r="B62" s="3"/>
      <c r="C62" s="3"/>
      <c r="D62" s="3"/>
    </row>
    <row r="63" spans="1:17" x14ac:dyDescent="0.25">
      <c r="B63" s="3"/>
      <c r="C63" s="3"/>
      <c r="D63" s="3"/>
    </row>
    <row r="64" spans="1:17"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B69" s="3"/>
      <c r="C69" s="3"/>
      <c r="D69" s="3"/>
    </row>
    <row r="70" spans="2:4" x14ac:dyDescent="0.25">
      <c r="B70" s="3"/>
      <c r="C70" s="3"/>
      <c r="D70" s="3"/>
    </row>
    <row r="71" spans="2:4" x14ac:dyDescent="0.25">
      <c r="B71" s="3"/>
      <c r="C71" s="3"/>
      <c r="D71" s="3"/>
    </row>
    <row r="72" spans="2:4" x14ac:dyDescent="0.25">
      <c r="B72" s="3"/>
      <c r="C72" s="3"/>
      <c r="D72" s="3"/>
    </row>
    <row r="73" spans="2:4" x14ac:dyDescent="0.25">
      <c r="B73" s="3"/>
      <c r="C73" s="3"/>
      <c r="D73" s="3"/>
    </row>
    <row r="74" spans="2:4" x14ac:dyDescent="0.25">
      <c r="B74" s="3"/>
      <c r="C74" s="3"/>
      <c r="D74" s="3"/>
    </row>
    <row r="75" spans="2:4" x14ac:dyDescent="0.25">
      <c r="B75" s="3"/>
      <c r="C75" s="3"/>
      <c r="D75" s="3"/>
    </row>
    <row r="76" spans="2:4" x14ac:dyDescent="0.25">
      <c r="B76" s="3"/>
      <c r="C76" s="3"/>
      <c r="D76" s="3"/>
    </row>
    <row r="77" spans="2:4" x14ac:dyDescent="0.25">
      <c r="B77" s="3"/>
      <c r="C77" s="3"/>
      <c r="D77" s="3"/>
    </row>
    <row r="78" spans="2:4" x14ac:dyDescent="0.25">
      <c r="B78" s="3"/>
      <c r="C78" s="3"/>
      <c r="D78" s="3"/>
    </row>
    <row r="79" spans="2:4" x14ac:dyDescent="0.25">
      <c r="B79" s="3"/>
      <c r="C79" s="3"/>
      <c r="D79" s="3"/>
    </row>
    <row r="80" spans="2:4" x14ac:dyDescent="0.25">
      <c r="B80" s="3"/>
      <c r="C80" s="3"/>
      <c r="D80" s="3"/>
    </row>
    <row r="81" spans="2:4" x14ac:dyDescent="0.25">
      <c r="B81" s="3"/>
      <c r="C81" s="3"/>
      <c r="D81" s="3"/>
    </row>
    <row r="82" spans="2:4" x14ac:dyDescent="0.25">
      <c r="B82" s="3"/>
      <c r="C82" s="3"/>
      <c r="D82" s="3"/>
    </row>
    <row r="83" spans="2:4" x14ac:dyDescent="0.25">
      <c r="B83" s="3"/>
      <c r="C83" s="3"/>
      <c r="D83" s="3"/>
    </row>
    <row r="84" spans="2:4" x14ac:dyDescent="0.25">
      <c r="B84" s="3"/>
      <c r="C84" s="3"/>
      <c r="D84" s="3"/>
    </row>
    <row r="85" spans="2:4" x14ac:dyDescent="0.25">
      <c r="B85" s="3"/>
      <c r="C85" s="3"/>
      <c r="D85" s="3"/>
    </row>
    <row r="86" spans="2:4" x14ac:dyDescent="0.25">
      <c r="B86" s="3"/>
      <c r="C86" s="3"/>
      <c r="D86" s="3"/>
    </row>
  </sheetData>
  <pageMargins left="0.7" right="0.7" top="0.75" bottom="0.75" header="0.3" footer="0.3"/>
  <pageSetup scale="59" fitToHeight="0" orientation="landscape" r:id="rId1"/>
  <headerFooter>
    <oddHeader>&amp;C&amp;24 13-WEEK CASH FLOW PROJECTION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383C87C-508A-4975-9FA9-92DB715DD284}">
          <x14:formula1>
            <xm:f>Drivers!$D$5:$D$15</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3F07B-A345-4FAB-AB4D-09CA563BCAA3}">
  <sheetPr>
    <tabColor rgb="FF469CA3"/>
  </sheetPr>
  <dimension ref="A1"/>
  <sheetViews>
    <sheetView workbookViewId="0">
      <selection activeCell="H10" sqref="H10"/>
    </sheetView>
  </sheetViews>
  <sheetFormatPr defaultRowHeight="15" x14ac:dyDescent="0.25"/>
  <cols>
    <col min="1" max="16384" width="9.140625" style="126"/>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6B40-FEC4-4373-9CE0-4344D456F854}">
  <sheetPr>
    <tabColor rgb="FF469CA3"/>
  </sheetPr>
  <dimension ref="A1:BJ74"/>
  <sheetViews>
    <sheetView showGridLines="0" zoomScaleNormal="100" workbookViewId="0">
      <pane ySplit="10" topLeftCell="A11" activePane="bottomLeft" state="frozen"/>
      <selection pane="bottomLeft" activeCell="C9" sqref="C9"/>
    </sheetView>
  </sheetViews>
  <sheetFormatPr defaultRowHeight="15" x14ac:dyDescent="0.25"/>
  <cols>
    <col min="1" max="1" width="4.5703125" customWidth="1"/>
    <col min="2" max="2" width="2.7109375" customWidth="1"/>
    <col min="3" max="3" width="38.7109375" bestFit="1" customWidth="1"/>
    <col min="4" max="4" width="14.140625" style="11" customWidth="1"/>
    <col min="5" max="5" width="3" style="10" customWidth="1"/>
    <col min="6" max="18" width="13.28515625" customWidth="1"/>
    <col min="19" max="19" width="3.42578125" style="74" customWidth="1"/>
  </cols>
  <sheetData>
    <row r="1" spans="1:62" s="17" customFormat="1" ht="29.25" customHeight="1" x14ac:dyDescent="0.25">
      <c r="A1" s="23"/>
      <c r="B1" s="40" t="s">
        <v>63</v>
      </c>
      <c r="C1" s="23"/>
      <c r="D1" s="22"/>
      <c r="E1" s="22"/>
      <c r="F1" s="22"/>
      <c r="G1" s="22"/>
      <c r="H1" s="22"/>
      <c r="I1" s="22"/>
      <c r="J1" s="22"/>
      <c r="K1" s="22"/>
      <c r="L1" s="22"/>
      <c r="M1" s="22"/>
      <c r="N1" s="22"/>
      <c r="O1" s="22"/>
      <c r="P1" s="22"/>
      <c r="Q1" s="22"/>
      <c r="R1" s="22"/>
      <c r="S1" s="73"/>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row>
    <row r="3" spans="1:62" ht="15.75" x14ac:dyDescent="0.25">
      <c r="C3" s="46" t="s">
        <v>64</v>
      </c>
      <c r="D3" s="42" t="str">
        <f>'Cash Flow (Indirect)'!$D3</f>
        <v>Input</v>
      </c>
    </row>
    <row r="4" spans="1:62" ht="15.75" x14ac:dyDescent="0.25">
      <c r="C4" s="46" t="s">
        <v>108</v>
      </c>
      <c r="D4" s="42" t="str">
        <f>'Cash Flow (Indirect)'!$D4</f>
        <v>Input</v>
      </c>
    </row>
    <row r="5" spans="1:62" ht="15.75" x14ac:dyDescent="0.25">
      <c r="C5" s="46" t="s">
        <v>73</v>
      </c>
      <c r="D5" s="42" t="str">
        <f>'Cash Flow (Indirect)'!$D5</f>
        <v>Input</v>
      </c>
    </row>
    <row r="6" spans="1:62" ht="15.75" x14ac:dyDescent="0.25">
      <c r="A6" s="10"/>
      <c r="C6" s="46" t="s">
        <v>25</v>
      </c>
      <c r="D6" s="42" t="str">
        <f>'Cash Flow (Indirect)'!$D6</f>
        <v>Forecast 6+6</v>
      </c>
      <c r="E6" s="9"/>
      <c r="F6" s="3"/>
      <c r="G6" s="3"/>
    </row>
    <row r="7" spans="1:62" ht="15.75" x14ac:dyDescent="0.25">
      <c r="A7" s="9"/>
      <c r="B7" s="3"/>
      <c r="C7" s="3"/>
      <c r="D7" s="44"/>
      <c r="E7" s="9"/>
      <c r="F7" s="3"/>
      <c r="G7" s="3"/>
      <c r="H7" s="3"/>
      <c r="I7" s="3"/>
      <c r="J7" s="3"/>
      <c r="K7" s="3"/>
      <c r="L7" s="3"/>
      <c r="M7" s="3"/>
      <c r="N7" s="3"/>
      <c r="O7" s="3"/>
      <c r="P7" s="3"/>
      <c r="Q7" s="3"/>
      <c r="R7" s="3"/>
      <c r="S7" s="75"/>
    </row>
    <row r="8" spans="1:62" s="10" customFormat="1" ht="12" customHeight="1" x14ac:dyDescent="0.25">
      <c r="A8" s="9"/>
      <c r="B8" s="9"/>
      <c r="C8" s="9"/>
      <c r="D8" s="63"/>
      <c r="E8" s="9"/>
      <c r="F8" s="9"/>
      <c r="G8" s="9"/>
      <c r="H8" s="9"/>
      <c r="I8" s="9"/>
      <c r="J8" s="9"/>
      <c r="K8" s="9"/>
      <c r="L8" s="9"/>
      <c r="M8" s="9"/>
      <c r="N8" s="9"/>
      <c r="O8" s="9"/>
      <c r="P8" s="9"/>
      <c r="Q8" s="9"/>
      <c r="R8" s="9"/>
      <c r="S8" s="76"/>
      <c r="T8" s="9"/>
    </row>
    <row r="9" spans="1:62" x14ac:dyDescent="0.25">
      <c r="A9" s="9"/>
      <c r="B9" s="9"/>
      <c r="C9" s="9"/>
      <c r="D9" s="56" t="s">
        <v>19</v>
      </c>
      <c r="E9" s="9"/>
      <c r="F9" s="56" t="str">
        <f t="shared" ref="F9:J9" si="0">$D$6</f>
        <v>Forecast 6+6</v>
      </c>
      <c r="G9" s="56" t="str">
        <f t="shared" si="0"/>
        <v>Forecast 6+6</v>
      </c>
      <c r="H9" s="56" t="str">
        <f t="shared" si="0"/>
        <v>Forecast 6+6</v>
      </c>
      <c r="I9" s="56" t="str">
        <f t="shared" si="0"/>
        <v>Forecast 6+6</v>
      </c>
      <c r="J9" s="56" t="str">
        <f t="shared" si="0"/>
        <v>Forecast 6+6</v>
      </c>
      <c r="K9" s="56" t="str">
        <f>$D$6</f>
        <v>Forecast 6+6</v>
      </c>
      <c r="L9" s="56" t="str">
        <f t="shared" ref="L9:R9" si="1">$D$6</f>
        <v>Forecast 6+6</v>
      </c>
      <c r="M9" s="56" t="str">
        <f t="shared" si="1"/>
        <v>Forecast 6+6</v>
      </c>
      <c r="N9" s="56" t="str">
        <f t="shared" si="1"/>
        <v>Forecast 6+6</v>
      </c>
      <c r="O9" s="56" t="str">
        <f t="shared" si="1"/>
        <v>Forecast 6+6</v>
      </c>
      <c r="P9" s="56" t="str">
        <f t="shared" si="1"/>
        <v>Forecast 6+6</v>
      </c>
      <c r="Q9" s="56" t="str">
        <f t="shared" si="1"/>
        <v>Forecast 6+6</v>
      </c>
      <c r="R9" s="56" t="str">
        <f t="shared" si="1"/>
        <v>Forecast 6+6</v>
      </c>
      <c r="S9" s="76"/>
      <c r="T9" s="9"/>
    </row>
    <row r="10" spans="1:62" x14ac:dyDescent="0.25">
      <c r="A10" s="9"/>
      <c r="B10" s="9"/>
      <c r="C10" s="9"/>
      <c r="D10" s="57">
        <v>2021</v>
      </c>
      <c r="E10" s="9"/>
      <c r="F10" s="56" t="s">
        <v>26</v>
      </c>
      <c r="G10" s="56" t="s">
        <v>27</v>
      </c>
      <c r="H10" s="56" t="s">
        <v>28</v>
      </c>
      <c r="I10" s="56" t="s">
        <v>29</v>
      </c>
      <c r="J10" s="56" t="s">
        <v>30</v>
      </c>
      <c r="K10" s="56" t="s">
        <v>31</v>
      </c>
      <c r="L10" s="56" t="s">
        <v>32</v>
      </c>
      <c r="M10" s="56" t="s">
        <v>33</v>
      </c>
      <c r="N10" s="56" t="s">
        <v>34</v>
      </c>
      <c r="O10" s="56" t="s">
        <v>35</v>
      </c>
      <c r="P10" s="56" t="s">
        <v>36</v>
      </c>
      <c r="Q10" s="56" t="s">
        <v>37</v>
      </c>
      <c r="R10" s="57">
        <v>2022</v>
      </c>
      <c r="S10" s="76"/>
      <c r="T10" s="9"/>
    </row>
    <row r="11" spans="1:62" s="10" customFormat="1" ht="15.75" customHeight="1" x14ac:dyDescent="0.25">
      <c r="A11" s="9"/>
      <c r="B11" s="9"/>
      <c r="C11" s="47" t="s">
        <v>115</v>
      </c>
      <c r="D11" s="65"/>
      <c r="E11" s="9"/>
      <c r="F11" s="65"/>
      <c r="G11" s="65"/>
      <c r="H11" s="65"/>
      <c r="I11" s="65"/>
      <c r="J11" s="65"/>
      <c r="K11" s="65"/>
      <c r="L11" s="65"/>
      <c r="M11" s="65"/>
      <c r="N11" s="65"/>
      <c r="O11" s="65"/>
      <c r="P11" s="65"/>
      <c r="Q11" s="65"/>
      <c r="R11" s="65"/>
      <c r="S11" s="76"/>
      <c r="T11" s="9"/>
    </row>
    <row r="12" spans="1:62" s="10" customFormat="1" ht="15.75" customHeight="1" x14ac:dyDescent="0.25">
      <c r="A12" s="9"/>
      <c r="B12" s="9"/>
      <c r="C12" s="69" t="s">
        <v>116</v>
      </c>
      <c r="D12" s="80">
        <v>23405160</v>
      </c>
      <c r="E12" s="81"/>
      <c r="F12" s="80">
        <v>2065040</v>
      </c>
      <c r="G12" s="80">
        <v>2165110</v>
      </c>
      <c r="H12" s="80">
        <v>1945180</v>
      </c>
      <c r="I12" s="80">
        <v>1925250</v>
      </c>
      <c r="J12" s="80">
        <v>2005320</v>
      </c>
      <c r="K12" s="80">
        <v>2085390</v>
      </c>
      <c r="L12" s="80">
        <v>2165460</v>
      </c>
      <c r="M12" s="80">
        <v>2245530</v>
      </c>
      <c r="N12" s="80">
        <v>2325600</v>
      </c>
      <c r="O12" s="80">
        <v>2405670</v>
      </c>
      <c r="P12" s="80">
        <v>2485740</v>
      </c>
      <c r="Q12" s="80">
        <v>2565810</v>
      </c>
      <c r="R12" s="80">
        <f t="shared" ref="R12:R16" si="2">SUM(F12:Q12)</f>
        <v>26385100</v>
      </c>
      <c r="S12" s="77" t="str">
        <f>IF(R12=SUM(F12:Q12),"CF","ERROR")</f>
        <v>CF</v>
      </c>
    </row>
    <row r="13" spans="1:62" s="10" customFormat="1" x14ac:dyDescent="0.25">
      <c r="A13" s="9"/>
      <c r="B13" s="9"/>
      <c r="C13" s="69" t="s">
        <v>117</v>
      </c>
      <c r="D13" s="65">
        <v>2813584</v>
      </c>
      <c r="E13" s="64"/>
      <c r="F13" s="65">
        <v>211650</v>
      </c>
      <c r="G13" s="65">
        <v>221850</v>
      </c>
      <c r="H13" s="65">
        <v>232050</v>
      </c>
      <c r="I13" s="65">
        <v>242250</v>
      </c>
      <c r="J13" s="65">
        <v>252450</v>
      </c>
      <c r="K13" s="65">
        <v>262650</v>
      </c>
      <c r="L13" s="65">
        <v>272850</v>
      </c>
      <c r="M13" s="65">
        <v>283050</v>
      </c>
      <c r="N13" s="65">
        <v>293250</v>
      </c>
      <c r="O13" s="65">
        <v>303450</v>
      </c>
      <c r="P13" s="65">
        <v>313650</v>
      </c>
      <c r="Q13" s="65">
        <v>323850</v>
      </c>
      <c r="R13" s="65">
        <f t="shared" si="2"/>
        <v>3213000</v>
      </c>
      <c r="S13" s="77" t="str">
        <f t="shared" ref="S13:S17" si="3">IF(R13=SUM(F13:Q13),"CF","ERROR")</f>
        <v>CF</v>
      </c>
    </row>
    <row r="14" spans="1:62" s="10" customFormat="1" x14ac:dyDescent="0.25">
      <c r="A14" s="9"/>
      <c r="B14" s="9"/>
      <c r="C14" s="69" t="s">
        <v>118</v>
      </c>
      <c r="D14" s="65">
        <v>2990540</v>
      </c>
      <c r="E14" s="64"/>
      <c r="F14" s="65">
        <v>281214</v>
      </c>
      <c r="G14" s="65">
        <v>287640</v>
      </c>
      <c r="H14" s="65">
        <v>308550</v>
      </c>
      <c r="I14" s="65">
        <v>420750</v>
      </c>
      <c r="J14" s="65">
        <v>274890</v>
      </c>
      <c r="K14" s="65">
        <v>262650</v>
      </c>
      <c r="L14" s="65">
        <v>134130</v>
      </c>
      <c r="M14" s="65">
        <v>134130</v>
      </c>
      <c r="N14" s="65">
        <v>198186</v>
      </c>
      <c r="O14" s="65">
        <v>270300</v>
      </c>
      <c r="P14" s="65">
        <v>453900</v>
      </c>
      <c r="Q14" s="65">
        <v>469200</v>
      </c>
      <c r="R14" s="65">
        <f t="shared" si="2"/>
        <v>3495540</v>
      </c>
      <c r="S14" s="77" t="str">
        <f t="shared" si="3"/>
        <v>CF</v>
      </c>
    </row>
    <row r="15" spans="1:62" s="10" customFormat="1" x14ac:dyDescent="0.25">
      <c r="A15" s="9"/>
      <c r="B15" s="9"/>
      <c r="C15" s="69" t="s">
        <v>119</v>
      </c>
      <c r="D15" s="66">
        <v>0</v>
      </c>
      <c r="E15" s="64"/>
      <c r="F15" s="66">
        <v>0</v>
      </c>
      <c r="G15" s="66">
        <v>0</v>
      </c>
      <c r="H15" s="66">
        <v>0</v>
      </c>
      <c r="I15" s="66">
        <v>0</v>
      </c>
      <c r="J15" s="66">
        <v>0</v>
      </c>
      <c r="K15" s="66">
        <v>0</v>
      </c>
      <c r="L15" s="66">
        <v>0</v>
      </c>
      <c r="M15" s="66">
        <v>0</v>
      </c>
      <c r="N15" s="66">
        <v>0</v>
      </c>
      <c r="O15" s="66">
        <v>0</v>
      </c>
      <c r="P15" s="66">
        <v>0</v>
      </c>
      <c r="Q15" s="66">
        <v>0</v>
      </c>
      <c r="R15" s="65">
        <f>SUM(F15:Q15)</f>
        <v>0</v>
      </c>
      <c r="S15" s="77" t="str">
        <f t="shared" si="3"/>
        <v>CF</v>
      </c>
    </row>
    <row r="16" spans="1:62" s="10" customFormat="1" x14ac:dyDescent="0.25">
      <c r="A16" s="9"/>
      <c r="B16" s="9"/>
      <c r="C16" s="69" t="s">
        <v>120</v>
      </c>
      <c r="D16" s="65">
        <v>-1107085</v>
      </c>
      <c r="E16" s="64"/>
      <c r="F16" s="65">
        <v>-125429.4</v>
      </c>
      <c r="G16" s="65">
        <v>-133599.6</v>
      </c>
      <c r="H16" s="65">
        <v>-141463.79999999999</v>
      </c>
      <c r="I16" s="65">
        <v>-153000</v>
      </c>
      <c r="J16" s="65">
        <v>-150460.20000000001</v>
      </c>
      <c r="K16" s="65">
        <v>-155876.4</v>
      </c>
      <c r="L16" s="65">
        <v>-153948.6</v>
      </c>
      <c r="M16" s="65">
        <v>-159364.79999999999</v>
      </c>
      <c r="N16" s="65">
        <v>-168453</v>
      </c>
      <c r="O16" s="65">
        <v>-178765.2</v>
      </c>
      <c r="P16" s="65">
        <v>-195197.4</v>
      </c>
      <c r="Q16" s="65">
        <v>-201531.6</v>
      </c>
      <c r="R16" s="65">
        <f t="shared" si="2"/>
        <v>-1917090</v>
      </c>
      <c r="S16" s="77" t="str">
        <f t="shared" si="3"/>
        <v>CF</v>
      </c>
    </row>
    <row r="17" spans="1:21" s="12" customFormat="1" x14ac:dyDescent="0.25">
      <c r="A17" s="8"/>
      <c r="B17" s="8"/>
      <c r="C17" s="70" t="s">
        <v>126</v>
      </c>
      <c r="D17" s="84">
        <f>SUM(D12:D16)</f>
        <v>28102199</v>
      </c>
      <c r="E17" s="83"/>
      <c r="F17" s="84">
        <f>SUM(F12:F16)</f>
        <v>2432474.6</v>
      </c>
      <c r="G17" s="84">
        <f t="shared" ref="G17:R17" si="4">SUM(G12:G16)</f>
        <v>2541000.4</v>
      </c>
      <c r="H17" s="84">
        <f t="shared" si="4"/>
        <v>2344316.2000000002</v>
      </c>
      <c r="I17" s="84">
        <f t="shared" si="4"/>
        <v>2435250</v>
      </c>
      <c r="J17" s="84">
        <f t="shared" si="4"/>
        <v>2382199.7999999998</v>
      </c>
      <c r="K17" s="84">
        <f t="shared" si="4"/>
        <v>2454813.6</v>
      </c>
      <c r="L17" s="84">
        <f t="shared" si="4"/>
        <v>2418491.4</v>
      </c>
      <c r="M17" s="84">
        <f t="shared" si="4"/>
        <v>2503345.2000000002</v>
      </c>
      <c r="N17" s="84">
        <f t="shared" si="4"/>
        <v>2648583</v>
      </c>
      <c r="O17" s="84">
        <f t="shared" si="4"/>
        <v>2800654.8</v>
      </c>
      <c r="P17" s="84">
        <f t="shared" si="4"/>
        <v>3058092.6</v>
      </c>
      <c r="Q17" s="84">
        <f t="shared" si="4"/>
        <v>3157328.4</v>
      </c>
      <c r="R17" s="84">
        <f t="shared" si="4"/>
        <v>31176550</v>
      </c>
      <c r="S17" s="77" t="str">
        <f t="shared" si="3"/>
        <v>CF</v>
      </c>
    </row>
    <row r="18" spans="1:21" s="12" customFormat="1" ht="4.5" customHeight="1" x14ac:dyDescent="0.25">
      <c r="A18" s="8"/>
      <c r="B18" s="8"/>
      <c r="C18" s="70"/>
      <c r="D18" s="67"/>
      <c r="E18" s="8"/>
      <c r="F18" s="67"/>
      <c r="G18" s="67"/>
      <c r="H18" s="67"/>
      <c r="I18" s="67"/>
      <c r="J18" s="67"/>
      <c r="K18" s="67"/>
      <c r="L18" s="67"/>
      <c r="M18" s="67"/>
      <c r="N18" s="67"/>
      <c r="O18" s="67"/>
      <c r="P18" s="67"/>
      <c r="Q18" s="67"/>
      <c r="R18" s="67"/>
      <c r="S18" s="78"/>
    </row>
    <row r="19" spans="1:21" s="10" customFormat="1" ht="15.75" customHeight="1" x14ac:dyDescent="0.25">
      <c r="A19" s="9"/>
      <c r="B19" s="9"/>
      <c r="C19" s="47" t="s">
        <v>125</v>
      </c>
      <c r="D19" s="65"/>
      <c r="E19" s="9"/>
      <c r="F19" s="65"/>
      <c r="G19" s="65"/>
      <c r="H19" s="65"/>
      <c r="I19" s="65"/>
      <c r="J19" s="65"/>
      <c r="K19" s="65"/>
      <c r="L19" s="65"/>
      <c r="M19" s="65"/>
      <c r="N19" s="65"/>
      <c r="O19" s="65"/>
      <c r="P19" s="65"/>
      <c r="Q19" s="65"/>
      <c r="R19" s="65"/>
      <c r="S19" s="76"/>
    </row>
    <row r="20" spans="1:21" s="10" customFormat="1" x14ac:dyDescent="0.25">
      <c r="A20" s="9"/>
      <c r="B20" s="9"/>
      <c r="C20" s="69" t="s">
        <v>121</v>
      </c>
      <c r="D20" s="65">
        <v>2532337</v>
      </c>
      <c r="E20" s="64"/>
      <c r="F20" s="65">
        <v>203138.36416666699</v>
      </c>
      <c r="G20" s="65">
        <v>215269.74780833334</v>
      </c>
      <c r="H20" s="65">
        <v>217422.44528641668</v>
      </c>
      <c r="I20" s="65">
        <v>219596.66973928086</v>
      </c>
      <c r="J20" s="65">
        <v>221792.63643667367</v>
      </c>
      <c r="K20" s="65">
        <v>219574.71007230692</v>
      </c>
      <c r="L20" s="65">
        <v>217378.96297158385</v>
      </c>
      <c r="M20" s="65">
        <v>215205.17334186801</v>
      </c>
      <c r="N20" s="65">
        <v>265710</v>
      </c>
      <c r="O20" s="65">
        <v>245800</v>
      </c>
      <c r="P20" s="65">
        <v>301200</v>
      </c>
      <c r="Q20" s="65">
        <v>240182.9044</v>
      </c>
      <c r="R20" s="65">
        <f>SUM(F20:Q20)</f>
        <v>2782271.6142231305</v>
      </c>
      <c r="S20" s="77" t="str">
        <f t="shared" ref="S20:S23" si="5">IF(R20=SUM(F20:Q20),"CF","ERROR")</f>
        <v>CF</v>
      </c>
    </row>
    <row r="21" spans="1:21" s="10" customFormat="1" x14ac:dyDescent="0.25">
      <c r="A21" s="9"/>
      <c r="B21" s="9"/>
      <c r="C21" s="69" t="s">
        <v>122</v>
      </c>
      <c r="D21" s="66">
        <v>1185258</v>
      </c>
      <c r="E21" s="64"/>
      <c r="F21" s="66">
        <v>99759.215000000011</v>
      </c>
      <c r="G21" s="65">
        <v>100756.80715000001</v>
      </c>
      <c r="H21" s="65">
        <v>101764.37522150001</v>
      </c>
      <c r="I21" s="65">
        <v>102782.01897371502</v>
      </c>
      <c r="J21" s="65">
        <v>103809.83916345217</v>
      </c>
      <c r="K21" s="66">
        <v>102771.74077181764</v>
      </c>
      <c r="L21" s="66">
        <v>101744.02336409946</v>
      </c>
      <c r="M21" s="66">
        <v>100726.58313045846</v>
      </c>
      <c r="N21" s="66">
        <v>78978</v>
      </c>
      <c r="O21" s="66">
        <v>101258</v>
      </c>
      <c r="P21" s="66">
        <v>95528</v>
      </c>
      <c r="Q21" s="66">
        <v>91258</v>
      </c>
      <c r="R21" s="65">
        <f>SUM(F21:Q21)</f>
        <v>1181136.6027750429</v>
      </c>
      <c r="S21" s="77" t="str">
        <f t="shared" si="5"/>
        <v>CF</v>
      </c>
      <c r="U21" s="9"/>
    </row>
    <row r="22" spans="1:21" s="10" customFormat="1" x14ac:dyDescent="0.25">
      <c r="A22" s="9"/>
      <c r="B22" s="9"/>
      <c r="C22" s="69" t="s">
        <v>123</v>
      </c>
      <c r="D22" s="66">
        <v>0</v>
      </c>
      <c r="E22" s="64"/>
      <c r="F22" s="66">
        <v>0</v>
      </c>
      <c r="G22" s="66">
        <v>0</v>
      </c>
      <c r="H22" s="66">
        <v>0</v>
      </c>
      <c r="I22" s="66">
        <v>0</v>
      </c>
      <c r="J22" s="66">
        <v>0</v>
      </c>
      <c r="K22" s="66">
        <v>0</v>
      </c>
      <c r="L22" s="66">
        <v>0</v>
      </c>
      <c r="M22" s="66">
        <v>0</v>
      </c>
      <c r="N22" s="66">
        <v>0</v>
      </c>
      <c r="O22" s="66">
        <v>0</v>
      </c>
      <c r="P22" s="66">
        <v>0</v>
      </c>
      <c r="Q22" s="66">
        <v>0</v>
      </c>
      <c r="R22" s="65">
        <f>SUM(F22:Q22)</f>
        <v>0</v>
      </c>
      <c r="S22" s="77" t="str">
        <f t="shared" si="5"/>
        <v>CF</v>
      </c>
      <c r="U22" s="9"/>
    </row>
    <row r="23" spans="1:21" s="12" customFormat="1" x14ac:dyDescent="0.25">
      <c r="A23" s="8"/>
      <c r="B23" s="8"/>
      <c r="C23" s="70" t="s">
        <v>128</v>
      </c>
      <c r="D23" s="84">
        <f>SUM(D20:D22)</f>
        <v>3717595</v>
      </c>
      <c r="E23" s="82"/>
      <c r="F23" s="84">
        <f>SUM(F20:F22)</f>
        <v>302897.57916666701</v>
      </c>
      <c r="G23" s="84">
        <f t="shared" ref="G23:R23" si="6">SUM(G20:G22)</f>
        <v>316026.55495833338</v>
      </c>
      <c r="H23" s="84">
        <f t="shared" si="6"/>
        <v>319186.82050791668</v>
      </c>
      <c r="I23" s="84">
        <f t="shared" si="6"/>
        <v>322378.68871299585</v>
      </c>
      <c r="J23" s="84">
        <f t="shared" si="6"/>
        <v>325602.47560012585</v>
      </c>
      <c r="K23" s="84">
        <f t="shared" si="6"/>
        <v>322346.45084412454</v>
      </c>
      <c r="L23" s="84">
        <f t="shared" si="6"/>
        <v>319122.98633568332</v>
      </c>
      <c r="M23" s="84">
        <f t="shared" si="6"/>
        <v>315931.75647232647</v>
      </c>
      <c r="N23" s="84">
        <f t="shared" si="6"/>
        <v>344688</v>
      </c>
      <c r="O23" s="84">
        <f t="shared" si="6"/>
        <v>347058</v>
      </c>
      <c r="P23" s="84">
        <f t="shared" si="6"/>
        <v>396728</v>
      </c>
      <c r="Q23" s="84">
        <f t="shared" si="6"/>
        <v>331440.9044</v>
      </c>
      <c r="R23" s="84">
        <f t="shared" si="6"/>
        <v>3963408.2169981734</v>
      </c>
      <c r="S23" s="77" t="str">
        <f t="shared" si="5"/>
        <v>CF</v>
      </c>
    </row>
    <row r="24" spans="1:21" s="10" customFormat="1" ht="3.75" customHeight="1" x14ac:dyDescent="0.25">
      <c r="A24" s="9"/>
      <c r="B24" s="9"/>
      <c r="C24" s="64"/>
      <c r="D24" s="65"/>
      <c r="E24" s="64"/>
      <c r="F24" s="65"/>
      <c r="G24" s="65"/>
      <c r="H24" s="65"/>
      <c r="I24" s="65"/>
      <c r="J24" s="65"/>
      <c r="K24" s="65"/>
      <c r="L24" s="65"/>
      <c r="M24" s="65"/>
      <c r="N24" s="65"/>
      <c r="O24" s="65"/>
      <c r="P24" s="65"/>
      <c r="Q24" s="65"/>
      <c r="R24" s="65"/>
      <c r="S24" s="76"/>
    </row>
    <row r="25" spans="1:21" s="12" customFormat="1" x14ac:dyDescent="0.25">
      <c r="A25" s="8"/>
      <c r="B25" s="8"/>
      <c r="C25" s="8" t="s">
        <v>124</v>
      </c>
      <c r="D25" s="84">
        <f>D$17-D$23</f>
        <v>24384604</v>
      </c>
      <c r="E25" s="83"/>
      <c r="F25" s="84">
        <f t="shared" ref="F25:R25" si="7">F$17-F$23</f>
        <v>2129577.020833333</v>
      </c>
      <c r="G25" s="84">
        <f t="shared" si="7"/>
        <v>2224973.8450416666</v>
      </c>
      <c r="H25" s="84">
        <f t="shared" si="7"/>
        <v>2025129.3794920836</v>
      </c>
      <c r="I25" s="84">
        <f t="shared" si="7"/>
        <v>2112871.311287004</v>
      </c>
      <c r="J25" s="84">
        <f t="shared" si="7"/>
        <v>2056597.3243998741</v>
      </c>
      <c r="K25" s="84">
        <f t="shared" si="7"/>
        <v>2132467.1491558757</v>
      </c>
      <c r="L25" s="84">
        <f t="shared" si="7"/>
        <v>2099368.4136643168</v>
      </c>
      <c r="M25" s="84">
        <f t="shared" si="7"/>
        <v>2187413.4435276738</v>
      </c>
      <c r="N25" s="84">
        <f t="shared" si="7"/>
        <v>2303895</v>
      </c>
      <c r="O25" s="84">
        <f t="shared" si="7"/>
        <v>2453596.7999999998</v>
      </c>
      <c r="P25" s="84">
        <f t="shared" si="7"/>
        <v>2661364.6</v>
      </c>
      <c r="Q25" s="84">
        <f t="shared" si="7"/>
        <v>2825887.4956</v>
      </c>
      <c r="R25" s="84">
        <f t="shared" si="7"/>
        <v>27213141.783001825</v>
      </c>
      <c r="S25" s="77" t="str">
        <f>IF(R25=SUM(F25:Q25),"CF","ERROR")</f>
        <v>CF</v>
      </c>
    </row>
    <row r="26" spans="1:21" s="72" customFormat="1" x14ac:dyDescent="0.25">
      <c r="A26" s="68"/>
      <c r="B26" s="68"/>
      <c r="C26" s="68" t="s">
        <v>127</v>
      </c>
      <c r="D26" s="71">
        <f>D25/D17</f>
        <v>0.86771159794292252</v>
      </c>
      <c r="E26" s="68"/>
      <c r="F26" s="71">
        <f t="shared" ref="F26:R26" si="8">F25/F17</f>
        <v>0.87547759834093763</v>
      </c>
      <c r="G26" s="71">
        <f t="shared" si="8"/>
        <v>0.87562908098781356</v>
      </c>
      <c r="H26" s="71">
        <f t="shared" si="8"/>
        <v>0.86384651502731735</v>
      </c>
      <c r="I26" s="71">
        <f t="shared" si="8"/>
        <v>0.86761987939102925</v>
      </c>
      <c r="J26" s="71">
        <f t="shared" si="8"/>
        <v>0.86331856983611288</v>
      </c>
      <c r="K26" s="71">
        <f t="shared" si="8"/>
        <v>0.86868801327965417</v>
      </c>
      <c r="L26" s="71">
        <f t="shared" si="8"/>
        <v>0.86804874049348157</v>
      </c>
      <c r="M26" s="71">
        <f t="shared" si="8"/>
        <v>0.87379616823427853</v>
      </c>
      <c r="N26" s="71">
        <f t="shared" si="8"/>
        <v>0.86985946825151406</v>
      </c>
      <c r="O26" s="71">
        <f t="shared" si="8"/>
        <v>0.87607969393443275</v>
      </c>
      <c r="P26" s="71">
        <f t="shared" si="8"/>
        <v>0.87026946142834261</v>
      </c>
      <c r="Q26" s="71">
        <f t="shared" si="8"/>
        <v>0.89502488736996766</v>
      </c>
      <c r="R26" s="71">
        <f t="shared" si="8"/>
        <v>0.8728721357238638</v>
      </c>
      <c r="S26" s="79"/>
    </row>
    <row r="27" spans="1:21" s="10" customFormat="1" ht="10.5" customHeight="1" x14ac:dyDescent="0.25">
      <c r="A27" s="9"/>
      <c r="B27" s="9"/>
      <c r="C27" s="64"/>
      <c r="D27" s="65"/>
      <c r="E27" s="64"/>
      <c r="F27" s="65"/>
      <c r="G27" s="65"/>
      <c r="H27" s="65"/>
      <c r="I27" s="65"/>
      <c r="J27" s="65"/>
      <c r="K27" s="65"/>
      <c r="L27" s="65"/>
      <c r="M27" s="65"/>
      <c r="N27" s="65"/>
      <c r="O27" s="65"/>
      <c r="P27" s="65"/>
      <c r="Q27" s="65"/>
      <c r="R27" s="65"/>
      <c r="S27" s="76"/>
    </row>
    <row r="28" spans="1:21" s="10" customFormat="1" ht="15.75" customHeight="1" x14ac:dyDescent="0.25">
      <c r="A28" s="9"/>
      <c r="B28" s="9"/>
      <c r="C28" s="47" t="s">
        <v>130</v>
      </c>
      <c r="D28" s="65"/>
      <c r="E28" s="9"/>
      <c r="F28" s="65"/>
      <c r="G28" s="65"/>
      <c r="H28" s="65"/>
      <c r="I28" s="65"/>
      <c r="J28" s="65"/>
      <c r="K28" s="65"/>
      <c r="L28" s="65"/>
      <c r="M28" s="65"/>
      <c r="N28" s="65"/>
      <c r="O28" s="65"/>
      <c r="P28" s="65"/>
      <c r="Q28" s="65"/>
      <c r="R28" s="65"/>
      <c r="S28" s="76"/>
    </row>
    <row r="29" spans="1:21" s="10" customFormat="1" x14ac:dyDescent="0.25">
      <c r="A29" s="9"/>
      <c r="B29" s="9"/>
      <c r="C29" s="69" t="s">
        <v>131</v>
      </c>
      <c r="D29" s="80">
        <v>5500</v>
      </c>
      <c r="E29" s="81"/>
      <c r="F29" s="80">
        <v>5555</v>
      </c>
      <c r="G29" s="80">
        <v>5666.1</v>
      </c>
      <c r="H29" s="80">
        <v>5779.4220000000005</v>
      </c>
      <c r="I29" s="80">
        <v>5895.0104400000009</v>
      </c>
      <c r="J29" s="80">
        <v>5777.1102312000012</v>
      </c>
      <c r="K29" s="80">
        <v>5834.8813335120012</v>
      </c>
      <c r="L29" s="80">
        <v>5893.2301468471214</v>
      </c>
      <c r="M29" s="80">
        <v>5952.1624483155929</v>
      </c>
      <c r="N29" s="80">
        <v>5833.1191993492812</v>
      </c>
      <c r="O29" s="80">
        <v>6071.8009135267366</v>
      </c>
      <c r="P29" s="80">
        <v>6132.5189226620041</v>
      </c>
      <c r="Q29" s="80">
        <v>6193.844111888624</v>
      </c>
      <c r="R29" s="80">
        <f>SUM(F29:Q29)</f>
        <v>70584.199747301362</v>
      </c>
      <c r="S29" s="77" t="str">
        <f t="shared" ref="S29:S64" si="9">IF(R29=SUM(F29:Q29),"CF","ERROR")</f>
        <v>CF</v>
      </c>
    </row>
    <row r="30" spans="1:21" s="10" customFormat="1" x14ac:dyDescent="0.25">
      <c r="A30" s="9"/>
      <c r="B30" s="9"/>
      <c r="C30" s="69" t="s">
        <v>132</v>
      </c>
      <c r="D30" s="65">
        <v>27500</v>
      </c>
      <c r="E30" s="64"/>
      <c r="F30" s="65">
        <v>27775</v>
      </c>
      <c r="G30" s="65">
        <v>28330.5</v>
      </c>
      <c r="H30" s="65">
        <v>28897.11</v>
      </c>
      <c r="I30" s="65">
        <v>29475.052200000002</v>
      </c>
      <c r="J30" s="65">
        <v>28885.551156000001</v>
      </c>
      <c r="K30" s="65">
        <v>29174.406667560001</v>
      </c>
      <c r="L30" s="65">
        <v>29466.150734235602</v>
      </c>
      <c r="M30" s="65">
        <v>29760.812241577958</v>
      </c>
      <c r="N30" s="65">
        <v>29165.595996746397</v>
      </c>
      <c r="O30" s="65">
        <v>30359.004567633674</v>
      </c>
      <c r="P30" s="65">
        <v>30662.594613310011</v>
      </c>
      <c r="Q30" s="65">
        <v>30969.220559443111</v>
      </c>
      <c r="R30" s="65">
        <f>SUM(F30:Q30)</f>
        <v>352920.99873650674</v>
      </c>
      <c r="S30" s="77" t="str">
        <f t="shared" si="9"/>
        <v>CF</v>
      </c>
    </row>
    <row r="31" spans="1:21" s="10" customFormat="1" x14ac:dyDescent="0.25">
      <c r="A31" s="9"/>
      <c r="B31" s="9"/>
      <c r="C31" s="69" t="s">
        <v>133</v>
      </c>
      <c r="D31" s="65">
        <v>2750</v>
      </c>
      <c r="E31" s="64"/>
      <c r="F31" s="65">
        <v>2777.5</v>
      </c>
      <c r="G31" s="65">
        <v>2833.05</v>
      </c>
      <c r="H31" s="65">
        <v>2889.7110000000002</v>
      </c>
      <c r="I31" s="65">
        <v>2947.5052200000005</v>
      </c>
      <c r="J31" s="65">
        <v>2888.5551156000006</v>
      </c>
      <c r="K31" s="65">
        <v>2917.4406667560006</v>
      </c>
      <c r="L31" s="65">
        <v>2946.6150734235607</v>
      </c>
      <c r="M31" s="65">
        <v>2976.0812241577964</v>
      </c>
      <c r="N31" s="65">
        <v>2916.5595996746406</v>
      </c>
      <c r="O31" s="65">
        <v>3035.9004567633683</v>
      </c>
      <c r="P31" s="65">
        <v>3066.2594613310021</v>
      </c>
      <c r="Q31" s="65">
        <v>3096.922055944312</v>
      </c>
      <c r="R31" s="65">
        <f>SUM(F31:Q31)</f>
        <v>35292.099873650681</v>
      </c>
      <c r="S31" s="77" t="str">
        <f t="shared" si="9"/>
        <v>CF</v>
      </c>
    </row>
    <row r="32" spans="1:21" s="10" customFormat="1" x14ac:dyDescent="0.25">
      <c r="A32" s="9"/>
      <c r="B32" s="9"/>
      <c r="C32" s="69" t="s">
        <v>134</v>
      </c>
      <c r="D32" s="65">
        <v>715</v>
      </c>
      <c r="E32" s="64"/>
      <c r="F32" s="65">
        <v>722.15</v>
      </c>
      <c r="G32" s="65">
        <v>736.59299999999996</v>
      </c>
      <c r="H32" s="65">
        <v>751.32485999999994</v>
      </c>
      <c r="I32" s="65">
        <v>766.35135719999994</v>
      </c>
      <c r="J32" s="65">
        <v>751.02433005599994</v>
      </c>
      <c r="K32" s="65">
        <v>758.53457335655992</v>
      </c>
      <c r="L32" s="65">
        <v>766.11991909012556</v>
      </c>
      <c r="M32" s="65">
        <v>773.78111828102681</v>
      </c>
      <c r="N32" s="65">
        <v>758.30549591540625</v>
      </c>
      <c r="O32" s="65">
        <v>789.33411875847537</v>
      </c>
      <c r="P32" s="65">
        <v>797.22745994606009</v>
      </c>
      <c r="Q32" s="65">
        <v>805.19973454552076</v>
      </c>
      <c r="R32" s="65">
        <f t="shared" ref="R32:R55" si="10">SUM(F32:Q32)</f>
        <v>9175.9459671491732</v>
      </c>
      <c r="S32" s="77" t="str">
        <f t="shared" si="9"/>
        <v>CF</v>
      </c>
    </row>
    <row r="33" spans="1:19" s="10" customFormat="1" x14ac:dyDescent="0.25">
      <c r="A33" s="9"/>
      <c r="B33" s="9"/>
      <c r="C33" s="69" t="s">
        <v>135</v>
      </c>
      <c r="D33" s="65">
        <v>3020500</v>
      </c>
      <c r="E33" s="65"/>
      <c r="F33" s="65">
        <v>290248.75</v>
      </c>
      <c r="G33" s="65">
        <v>296053.72499999998</v>
      </c>
      <c r="H33" s="65">
        <v>301974.79950000002</v>
      </c>
      <c r="I33" s="65">
        <v>308014.29548999999</v>
      </c>
      <c r="J33" s="65">
        <v>301854.00958020001</v>
      </c>
      <c r="K33" s="65">
        <v>304872.549676002</v>
      </c>
      <c r="L33" s="65">
        <v>307921.27517276199</v>
      </c>
      <c r="M33" s="65">
        <v>311000.48792448954</v>
      </c>
      <c r="N33" s="65">
        <v>304780.47816599975</v>
      </c>
      <c r="O33" s="65">
        <v>317251.59773177182</v>
      </c>
      <c r="P33" s="65">
        <v>320424.11370908952</v>
      </c>
      <c r="Q33" s="65">
        <v>323628.35484618042</v>
      </c>
      <c r="R33" s="65">
        <f t="shared" si="10"/>
        <v>3688024.4367964948</v>
      </c>
      <c r="S33" s="77" t="str">
        <f t="shared" si="9"/>
        <v>CF</v>
      </c>
    </row>
    <row r="34" spans="1:19" s="10" customFormat="1" x14ac:dyDescent="0.25">
      <c r="A34" s="9"/>
      <c r="B34" s="9"/>
      <c r="C34" s="69" t="s">
        <v>136</v>
      </c>
      <c r="D34" s="65">
        <v>550000</v>
      </c>
      <c r="E34" s="65"/>
      <c r="F34" s="65">
        <v>52772.5</v>
      </c>
      <c r="G34" s="65">
        <v>53827.95</v>
      </c>
      <c r="H34" s="65">
        <v>54904.509000000005</v>
      </c>
      <c r="I34" s="65">
        <v>56002.599180000005</v>
      </c>
      <c r="J34" s="65">
        <v>54882.547196400003</v>
      </c>
      <c r="K34" s="65">
        <v>55431.372668364005</v>
      </c>
      <c r="L34" s="65">
        <v>55985.686395047647</v>
      </c>
      <c r="M34" s="65">
        <v>56545.543258998121</v>
      </c>
      <c r="N34" s="65">
        <v>55414.632393818159</v>
      </c>
      <c r="O34" s="65">
        <v>57682.108678503988</v>
      </c>
      <c r="P34" s="65">
        <v>58258.929765289031</v>
      </c>
      <c r="Q34" s="65">
        <v>58841.519062941923</v>
      </c>
      <c r="R34" s="65">
        <f t="shared" si="10"/>
        <v>670549.89759936288</v>
      </c>
      <c r="S34" s="77" t="str">
        <f t="shared" si="9"/>
        <v>CF</v>
      </c>
    </row>
    <row r="35" spans="1:19" s="10" customFormat="1" x14ac:dyDescent="0.25">
      <c r="A35" s="9"/>
      <c r="B35" s="9"/>
      <c r="C35" s="69" t="s">
        <v>137</v>
      </c>
      <c r="D35" s="65">
        <v>550000</v>
      </c>
      <c r="E35" s="65"/>
      <c r="F35" s="65">
        <v>52772.5</v>
      </c>
      <c r="G35" s="65">
        <v>53827.95</v>
      </c>
      <c r="H35" s="65">
        <v>54904.509000000005</v>
      </c>
      <c r="I35" s="65">
        <v>56002.599180000005</v>
      </c>
      <c r="J35" s="65">
        <v>54882.547196400003</v>
      </c>
      <c r="K35" s="65">
        <v>55431.372668364005</v>
      </c>
      <c r="L35" s="65">
        <v>55985.686395047647</v>
      </c>
      <c r="M35" s="65">
        <v>56545.543258998121</v>
      </c>
      <c r="N35" s="65">
        <v>55414.632393818159</v>
      </c>
      <c r="O35" s="65">
        <v>57682.108678503988</v>
      </c>
      <c r="P35" s="65">
        <v>58258.929765289031</v>
      </c>
      <c r="Q35" s="65">
        <v>58841.519062941923</v>
      </c>
      <c r="R35" s="65">
        <f t="shared" si="10"/>
        <v>670549.89759936288</v>
      </c>
      <c r="S35" s="77" t="str">
        <f t="shared" si="9"/>
        <v>CF</v>
      </c>
    </row>
    <row r="36" spans="1:19" s="10" customFormat="1" x14ac:dyDescent="0.25">
      <c r="A36" s="9"/>
      <c r="B36" s="9"/>
      <c r="C36" s="69" t="s">
        <v>138</v>
      </c>
      <c r="D36" s="65">
        <v>1375000</v>
      </c>
      <c r="E36" s="65"/>
      <c r="F36" s="65">
        <v>138875</v>
      </c>
      <c r="G36" s="65">
        <v>141652.5</v>
      </c>
      <c r="H36" s="65">
        <v>144485.55000000002</v>
      </c>
      <c r="I36" s="65">
        <v>147375.26100000003</v>
      </c>
      <c r="J36" s="65">
        <v>144427.75578000004</v>
      </c>
      <c r="K36" s="65">
        <v>145872.03333780004</v>
      </c>
      <c r="L36" s="65">
        <v>147330.75367117804</v>
      </c>
      <c r="M36" s="65">
        <v>148804.06120788981</v>
      </c>
      <c r="N36" s="65">
        <v>145827.97998373202</v>
      </c>
      <c r="O36" s="65">
        <v>151795.02283816843</v>
      </c>
      <c r="P36" s="65">
        <v>153312.9730665501</v>
      </c>
      <c r="Q36" s="65">
        <v>154846.1027972156</v>
      </c>
      <c r="R36" s="65">
        <f t="shared" si="10"/>
        <v>1764604.9936825342</v>
      </c>
      <c r="S36" s="77" t="str">
        <f t="shared" si="9"/>
        <v>CF</v>
      </c>
    </row>
    <row r="37" spans="1:19" s="10" customFormat="1" x14ac:dyDescent="0.25">
      <c r="A37" s="9"/>
      <c r="B37" s="9"/>
      <c r="C37" s="69" t="s">
        <v>139</v>
      </c>
      <c r="D37" s="65">
        <v>0</v>
      </c>
      <c r="E37" s="65"/>
      <c r="F37" s="65">
        <v>0</v>
      </c>
      <c r="G37" s="65">
        <v>0</v>
      </c>
      <c r="H37" s="65">
        <v>0</v>
      </c>
      <c r="I37" s="65">
        <v>0</v>
      </c>
      <c r="J37" s="65">
        <v>0</v>
      </c>
      <c r="K37" s="65">
        <v>0</v>
      </c>
      <c r="L37" s="65">
        <v>0</v>
      </c>
      <c r="M37" s="65">
        <v>0</v>
      </c>
      <c r="N37" s="65">
        <v>0</v>
      </c>
      <c r="O37" s="65">
        <v>0</v>
      </c>
      <c r="P37" s="65">
        <v>0</v>
      </c>
      <c r="Q37" s="65">
        <v>0</v>
      </c>
      <c r="R37" s="65">
        <f t="shared" si="10"/>
        <v>0</v>
      </c>
      <c r="S37" s="77" t="str">
        <f t="shared" si="9"/>
        <v>CF</v>
      </c>
    </row>
    <row r="38" spans="1:19" s="10" customFormat="1" x14ac:dyDescent="0.25">
      <c r="A38" s="9"/>
      <c r="B38" s="9"/>
      <c r="C38" s="69" t="s">
        <v>140</v>
      </c>
      <c r="D38" s="65">
        <v>412.5</v>
      </c>
      <c r="E38" s="64"/>
      <c r="F38" s="65">
        <v>416.625</v>
      </c>
      <c r="G38" s="65">
        <v>424.95749999999998</v>
      </c>
      <c r="H38" s="65">
        <v>433.45664999999997</v>
      </c>
      <c r="I38" s="65">
        <v>442.12578299999996</v>
      </c>
      <c r="J38" s="65">
        <v>433.28326733999995</v>
      </c>
      <c r="K38" s="65">
        <v>437.61610001339994</v>
      </c>
      <c r="L38" s="65">
        <v>441.99226101353395</v>
      </c>
      <c r="M38" s="65">
        <v>446.41218362366931</v>
      </c>
      <c r="N38" s="65">
        <v>437.48393995119591</v>
      </c>
      <c r="O38" s="65">
        <v>455.38506851450506</v>
      </c>
      <c r="P38" s="65">
        <v>459.93891919965012</v>
      </c>
      <c r="Q38" s="65">
        <v>464.53830839164664</v>
      </c>
      <c r="R38" s="65">
        <f t="shared" si="10"/>
        <v>5293.8149810476007</v>
      </c>
      <c r="S38" s="77" t="str">
        <f t="shared" si="9"/>
        <v>CF</v>
      </c>
    </row>
    <row r="39" spans="1:19" s="10" customFormat="1" x14ac:dyDescent="0.25">
      <c r="A39" s="9"/>
      <c r="B39" s="9"/>
      <c r="C39" s="69" t="s">
        <v>141</v>
      </c>
      <c r="D39" s="65">
        <v>825</v>
      </c>
      <c r="E39" s="64"/>
      <c r="F39" s="65">
        <v>833.25</v>
      </c>
      <c r="G39" s="65">
        <v>849.91499999999996</v>
      </c>
      <c r="H39" s="65">
        <v>866.91329999999994</v>
      </c>
      <c r="I39" s="65">
        <v>884.25156599999991</v>
      </c>
      <c r="J39" s="65">
        <v>866.5665346799999</v>
      </c>
      <c r="K39" s="65">
        <v>875.23220002679989</v>
      </c>
      <c r="L39" s="65">
        <v>883.9845220270679</v>
      </c>
      <c r="M39" s="65">
        <v>892.82436724733861</v>
      </c>
      <c r="N39" s="65">
        <v>874.96787990239181</v>
      </c>
      <c r="O39" s="65">
        <v>910.77013702901013</v>
      </c>
      <c r="P39" s="65">
        <v>919.87783839930023</v>
      </c>
      <c r="Q39" s="65">
        <v>929.07661678329328</v>
      </c>
      <c r="R39" s="65">
        <f t="shared" si="10"/>
        <v>10587.629962095201</v>
      </c>
      <c r="S39" s="77" t="str">
        <f t="shared" si="9"/>
        <v>CF</v>
      </c>
    </row>
    <row r="40" spans="1:19" s="10" customFormat="1" x14ac:dyDescent="0.25">
      <c r="A40" s="9"/>
      <c r="B40" s="9"/>
      <c r="C40" s="69" t="s">
        <v>142</v>
      </c>
      <c r="D40" s="65">
        <v>3300</v>
      </c>
      <c r="E40" s="64"/>
      <c r="F40" s="65">
        <v>3333</v>
      </c>
      <c r="G40" s="65">
        <v>3399.66</v>
      </c>
      <c r="H40" s="65">
        <v>3467.6531999999997</v>
      </c>
      <c r="I40" s="65">
        <v>3537.0062639999996</v>
      </c>
      <c r="J40" s="65">
        <v>3466.2661387199996</v>
      </c>
      <c r="K40" s="65">
        <v>3500.9288001071995</v>
      </c>
      <c r="L40" s="65">
        <v>3535.9380881082716</v>
      </c>
      <c r="M40" s="65">
        <v>3571.2974689893545</v>
      </c>
      <c r="N40" s="65">
        <v>3499.8715196095673</v>
      </c>
      <c r="O40" s="65">
        <v>3643.0805481160405</v>
      </c>
      <c r="P40" s="65">
        <v>3679.5113535972009</v>
      </c>
      <c r="Q40" s="65">
        <v>3716.3064671331731</v>
      </c>
      <c r="R40" s="65">
        <f t="shared" si="10"/>
        <v>42350.519848380805</v>
      </c>
      <c r="S40" s="77" t="str">
        <f t="shared" si="9"/>
        <v>CF</v>
      </c>
    </row>
    <row r="41" spans="1:19" s="10" customFormat="1" x14ac:dyDescent="0.25">
      <c r="A41" s="9"/>
      <c r="B41" s="9"/>
      <c r="C41" s="69" t="s">
        <v>143</v>
      </c>
      <c r="D41" s="65">
        <v>5500</v>
      </c>
      <c r="E41" s="64"/>
      <c r="F41" s="65">
        <v>5555</v>
      </c>
      <c r="G41" s="65">
        <v>5666.1</v>
      </c>
      <c r="H41" s="65">
        <v>5779.4220000000005</v>
      </c>
      <c r="I41" s="65">
        <v>5895.0104400000009</v>
      </c>
      <c r="J41" s="65">
        <v>5777.1102312000012</v>
      </c>
      <c r="K41" s="65">
        <v>5834.8813335120012</v>
      </c>
      <c r="L41" s="65">
        <v>5893.2301468471214</v>
      </c>
      <c r="M41" s="65">
        <v>5952.1624483155929</v>
      </c>
      <c r="N41" s="65">
        <v>5833.1191993492812</v>
      </c>
      <c r="O41" s="65">
        <v>6071.8009135267366</v>
      </c>
      <c r="P41" s="65">
        <v>6132.5189226620041</v>
      </c>
      <c r="Q41" s="65">
        <v>6193.844111888624</v>
      </c>
      <c r="R41" s="65">
        <f t="shared" si="10"/>
        <v>70584.199747301362</v>
      </c>
      <c r="S41" s="77" t="str">
        <f t="shared" si="9"/>
        <v>CF</v>
      </c>
    </row>
    <row r="42" spans="1:19" s="10" customFormat="1" x14ac:dyDescent="0.25">
      <c r="A42" s="9"/>
      <c r="B42" s="9"/>
      <c r="C42" s="69" t="s">
        <v>144</v>
      </c>
      <c r="D42" s="65">
        <v>2750</v>
      </c>
      <c r="E42" s="64"/>
      <c r="F42" s="65">
        <v>2777.5</v>
      </c>
      <c r="G42" s="65">
        <v>2833.05</v>
      </c>
      <c r="H42" s="65">
        <v>2889.7110000000002</v>
      </c>
      <c r="I42" s="65">
        <v>2947.5052200000005</v>
      </c>
      <c r="J42" s="65">
        <v>2888.5551156000006</v>
      </c>
      <c r="K42" s="65">
        <v>2917.4406667560006</v>
      </c>
      <c r="L42" s="65">
        <v>2946.6150734235607</v>
      </c>
      <c r="M42" s="65">
        <v>2976.0812241577964</v>
      </c>
      <c r="N42" s="65">
        <v>2916.5595996746406</v>
      </c>
      <c r="O42" s="65">
        <v>3035.9004567633683</v>
      </c>
      <c r="P42" s="65">
        <v>3066.2594613310021</v>
      </c>
      <c r="Q42" s="65">
        <v>3096.922055944312</v>
      </c>
      <c r="R42" s="65">
        <f t="shared" si="10"/>
        <v>35292.099873650681</v>
      </c>
      <c r="S42" s="77" t="str">
        <f t="shared" si="9"/>
        <v>CF</v>
      </c>
    </row>
    <row r="43" spans="1:19" s="10" customFormat="1" x14ac:dyDescent="0.25">
      <c r="A43" s="9"/>
      <c r="B43" s="9"/>
      <c r="C43" s="69" t="s">
        <v>145</v>
      </c>
      <c r="D43" s="65">
        <v>1264.9999999999998</v>
      </c>
      <c r="E43" s="64"/>
      <c r="F43" s="65">
        <v>1277.6499999999999</v>
      </c>
      <c r="G43" s="65">
        <v>1303.203</v>
      </c>
      <c r="H43" s="65">
        <v>1329.2670599999999</v>
      </c>
      <c r="I43" s="65">
        <v>1355.8524012</v>
      </c>
      <c r="J43" s="65">
        <v>1328.735353176</v>
      </c>
      <c r="K43" s="65">
        <v>1342.0227067077601</v>
      </c>
      <c r="L43" s="65">
        <v>1355.4429337748377</v>
      </c>
      <c r="M43" s="65">
        <v>1368.9973631125861</v>
      </c>
      <c r="N43" s="65">
        <v>1341.6174158503343</v>
      </c>
      <c r="O43" s="65">
        <v>1396.5142101111492</v>
      </c>
      <c r="P43" s="65">
        <v>1410.4793522122607</v>
      </c>
      <c r="Q43" s="65">
        <v>1424.5841457343834</v>
      </c>
      <c r="R43" s="65">
        <f t="shared" si="10"/>
        <v>16234.36594187931</v>
      </c>
      <c r="S43" s="77" t="str">
        <f t="shared" si="9"/>
        <v>CF</v>
      </c>
    </row>
    <row r="44" spans="1:19" s="10" customFormat="1" x14ac:dyDescent="0.25">
      <c r="A44" s="9"/>
      <c r="B44" s="9"/>
      <c r="C44" s="69" t="s">
        <v>146</v>
      </c>
      <c r="D44" s="65">
        <v>0</v>
      </c>
      <c r="E44" s="64"/>
      <c r="F44" s="65">
        <v>0</v>
      </c>
      <c r="G44" s="65">
        <v>0</v>
      </c>
      <c r="H44" s="65">
        <v>0</v>
      </c>
      <c r="I44" s="65">
        <v>0</v>
      </c>
      <c r="J44" s="65">
        <v>0</v>
      </c>
      <c r="K44" s="65">
        <v>0</v>
      </c>
      <c r="L44" s="65">
        <v>0</v>
      </c>
      <c r="M44" s="65">
        <v>0</v>
      </c>
      <c r="N44" s="65">
        <v>0</v>
      </c>
      <c r="O44" s="65">
        <v>0</v>
      </c>
      <c r="P44" s="65">
        <v>0</v>
      </c>
      <c r="Q44" s="65">
        <v>0</v>
      </c>
      <c r="R44" s="65">
        <f t="shared" si="10"/>
        <v>0</v>
      </c>
      <c r="S44" s="77" t="str">
        <f t="shared" si="9"/>
        <v>CF</v>
      </c>
    </row>
    <row r="45" spans="1:19" s="10" customFormat="1" x14ac:dyDescent="0.25">
      <c r="A45" s="9"/>
      <c r="B45" s="9"/>
      <c r="C45" s="69" t="s">
        <v>147</v>
      </c>
      <c r="D45" s="65">
        <v>5500</v>
      </c>
      <c r="E45" s="64"/>
      <c r="F45" s="65">
        <v>5555</v>
      </c>
      <c r="G45" s="65">
        <v>5666.1</v>
      </c>
      <c r="H45" s="65">
        <v>5779.4220000000005</v>
      </c>
      <c r="I45" s="65">
        <v>5895.0104400000009</v>
      </c>
      <c r="J45" s="65">
        <v>5777.1102312000012</v>
      </c>
      <c r="K45" s="65">
        <v>5834.8813335120012</v>
      </c>
      <c r="L45" s="65">
        <v>5893.2301468471214</v>
      </c>
      <c r="M45" s="65">
        <v>5952.1624483155929</v>
      </c>
      <c r="N45" s="65">
        <v>5833.1191993492812</v>
      </c>
      <c r="O45" s="65">
        <v>6071.8009135267366</v>
      </c>
      <c r="P45" s="65">
        <v>6132.5189226620041</v>
      </c>
      <c r="Q45" s="65">
        <v>6193.844111888624</v>
      </c>
      <c r="R45" s="65">
        <f t="shared" si="10"/>
        <v>70584.199747301362</v>
      </c>
      <c r="S45" s="77" t="str">
        <f t="shared" si="9"/>
        <v>CF</v>
      </c>
    </row>
    <row r="46" spans="1:19" s="10" customFormat="1" x14ac:dyDescent="0.25">
      <c r="A46" s="9"/>
      <c r="B46" s="9"/>
      <c r="C46" s="69" t="s">
        <v>148</v>
      </c>
      <c r="D46" s="65">
        <v>11000</v>
      </c>
      <c r="E46" s="64"/>
      <c r="F46" s="65">
        <v>11110</v>
      </c>
      <c r="G46" s="65">
        <v>11332.2</v>
      </c>
      <c r="H46" s="65">
        <v>11558.844000000001</v>
      </c>
      <c r="I46" s="65">
        <v>11790.020880000002</v>
      </c>
      <c r="J46" s="65">
        <v>11554.220462400002</v>
      </c>
      <c r="K46" s="65">
        <v>11669.762667024002</v>
      </c>
      <c r="L46" s="65">
        <v>11786.460293694243</v>
      </c>
      <c r="M46" s="65">
        <v>11904.324896631186</v>
      </c>
      <c r="N46" s="65">
        <v>11666.238398698562</v>
      </c>
      <c r="O46" s="65">
        <v>12143.601827053473</v>
      </c>
      <c r="P46" s="65">
        <v>12265.037845324008</v>
      </c>
      <c r="Q46" s="65">
        <v>12387.688223777248</v>
      </c>
      <c r="R46" s="65">
        <f t="shared" si="10"/>
        <v>141168.39949460272</v>
      </c>
      <c r="S46" s="77" t="str">
        <f t="shared" si="9"/>
        <v>CF</v>
      </c>
    </row>
    <row r="47" spans="1:19" s="10" customFormat="1" x14ac:dyDescent="0.25">
      <c r="A47" s="9"/>
      <c r="B47" s="9"/>
      <c r="C47" s="69" t="s">
        <v>149</v>
      </c>
      <c r="D47" s="65">
        <v>6050</v>
      </c>
      <c r="E47" s="64"/>
      <c r="F47" s="65">
        <v>6110.5</v>
      </c>
      <c r="G47" s="65">
        <v>6232.71</v>
      </c>
      <c r="H47" s="65">
        <v>6357.3642</v>
      </c>
      <c r="I47" s="65">
        <v>6484.5114839999997</v>
      </c>
      <c r="J47" s="65">
        <v>6354.8212543199998</v>
      </c>
      <c r="K47" s="65">
        <v>6418.3694668631997</v>
      </c>
      <c r="L47" s="65">
        <v>6482.5531615318314</v>
      </c>
      <c r="M47" s="65">
        <v>6547.3786931471495</v>
      </c>
      <c r="N47" s="65">
        <v>6416.431119284206</v>
      </c>
      <c r="O47" s="65">
        <v>6678.981004879407</v>
      </c>
      <c r="P47" s="65">
        <v>6745.7708149282007</v>
      </c>
      <c r="Q47" s="65">
        <v>6813.2285230774824</v>
      </c>
      <c r="R47" s="65">
        <f t="shared" si="10"/>
        <v>77642.619722031479</v>
      </c>
      <c r="S47" s="77" t="str">
        <f t="shared" si="9"/>
        <v>CF</v>
      </c>
    </row>
    <row r="48" spans="1:19" s="10" customFormat="1" x14ac:dyDescent="0.25">
      <c r="A48" s="9"/>
      <c r="B48" s="9"/>
      <c r="C48" s="69" t="s">
        <v>150</v>
      </c>
      <c r="D48" s="65">
        <v>2200</v>
      </c>
      <c r="E48" s="64"/>
      <c r="F48" s="65">
        <v>2222</v>
      </c>
      <c r="G48" s="65">
        <v>2266.44</v>
      </c>
      <c r="H48" s="65">
        <v>2311.7688000000003</v>
      </c>
      <c r="I48" s="65">
        <v>2358.0041760000004</v>
      </c>
      <c r="J48" s="65">
        <v>2310.8440924800002</v>
      </c>
      <c r="K48" s="65">
        <v>2333.9525334048003</v>
      </c>
      <c r="L48" s="65">
        <v>2357.2920587388485</v>
      </c>
      <c r="M48" s="65">
        <v>2380.8649793262371</v>
      </c>
      <c r="N48" s="65">
        <v>2333.2476797397121</v>
      </c>
      <c r="O48" s="65">
        <v>2428.7203654106943</v>
      </c>
      <c r="P48" s="65">
        <v>2453.0075690648014</v>
      </c>
      <c r="Q48" s="65">
        <v>2477.5376447554495</v>
      </c>
      <c r="R48" s="65">
        <f t="shared" si="10"/>
        <v>28233.679898920538</v>
      </c>
      <c r="S48" s="77" t="str">
        <f t="shared" si="9"/>
        <v>CF</v>
      </c>
    </row>
    <row r="49" spans="1:19" s="10" customFormat="1" x14ac:dyDescent="0.25">
      <c r="A49" s="9"/>
      <c r="B49" s="9"/>
      <c r="C49" s="69" t="s">
        <v>151</v>
      </c>
      <c r="D49" s="65">
        <v>5500</v>
      </c>
      <c r="E49" s="64"/>
      <c r="F49" s="65">
        <v>5555</v>
      </c>
      <c r="G49" s="65">
        <v>5666.1</v>
      </c>
      <c r="H49" s="65">
        <v>5779.4220000000005</v>
      </c>
      <c r="I49" s="65">
        <v>5895.0104400000009</v>
      </c>
      <c r="J49" s="65">
        <v>5777.1102312000012</v>
      </c>
      <c r="K49" s="65">
        <v>5834.8813335120012</v>
      </c>
      <c r="L49" s="65">
        <v>5893.2301468471214</v>
      </c>
      <c r="M49" s="65">
        <v>5952.1624483155929</v>
      </c>
      <c r="N49" s="65">
        <v>5833.1191993492812</v>
      </c>
      <c r="O49" s="65">
        <v>6071.8009135267366</v>
      </c>
      <c r="P49" s="65">
        <v>6132.5189226620041</v>
      </c>
      <c r="Q49" s="65">
        <v>6193.844111888624</v>
      </c>
      <c r="R49" s="65">
        <f t="shared" si="10"/>
        <v>70584.199747301362</v>
      </c>
      <c r="S49" s="77" t="str">
        <f t="shared" si="9"/>
        <v>CF</v>
      </c>
    </row>
    <row r="50" spans="1:19" s="10" customFormat="1" x14ac:dyDescent="0.25">
      <c r="A50" s="9"/>
      <c r="B50" s="9"/>
      <c r="C50" s="69" t="s">
        <v>152</v>
      </c>
      <c r="D50" s="65">
        <v>5500</v>
      </c>
      <c r="E50" s="64"/>
      <c r="F50" s="65">
        <v>5555</v>
      </c>
      <c r="G50" s="65">
        <v>5666.1</v>
      </c>
      <c r="H50" s="65">
        <v>5779.4220000000005</v>
      </c>
      <c r="I50" s="65">
        <v>5895.0104400000009</v>
      </c>
      <c r="J50" s="65">
        <v>5777.1102312000012</v>
      </c>
      <c r="K50" s="65">
        <v>5834.8813335120012</v>
      </c>
      <c r="L50" s="65">
        <v>5893.2301468471214</v>
      </c>
      <c r="M50" s="65">
        <v>5952.1624483155929</v>
      </c>
      <c r="N50" s="65">
        <v>5833.1191993492812</v>
      </c>
      <c r="O50" s="65">
        <v>6071.8009135267366</v>
      </c>
      <c r="P50" s="65">
        <v>6132.5189226620041</v>
      </c>
      <c r="Q50" s="65">
        <v>6193.844111888624</v>
      </c>
      <c r="R50" s="65">
        <f t="shared" si="10"/>
        <v>70584.199747301362</v>
      </c>
      <c r="S50" s="77" t="str">
        <f t="shared" si="9"/>
        <v>CF</v>
      </c>
    </row>
    <row r="51" spans="1:19" s="10" customFormat="1" x14ac:dyDescent="0.25">
      <c r="A51" s="9"/>
      <c r="B51" s="9"/>
      <c r="C51" s="69" t="s">
        <v>153</v>
      </c>
      <c r="D51" s="65">
        <v>13750</v>
      </c>
      <c r="E51" s="64"/>
      <c r="F51" s="65">
        <v>13887.5</v>
      </c>
      <c r="G51" s="65">
        <v>14165.25</v>
      </c>
      <c r="H51" s="65">
        <v>14448.555</v>
      </c>
      <c r="I51" s="65">
        <v>14737.526100000001</v>
      </c>
      <c r="J51" s="65">
        <v>14442.775578000001</v>
      </c>
      <c r="K51" s="65">
        <v>14587.20333378</v>
      </c>
      <c r="L51" s="65">
        <v>14733.075367117801</v>
      </c>
      <c r="M51" s="65">
        <v>14880.406120788979</v>
      </c>
      <c r="N51" s="65">
        <v>14582.797998373198</v>
      </c>
      <c r="O51" s="65">
        <v>15179.502283816837</v>
      </c>
      <c r="P51" s="65">
        <v>15331.297306655006</v>
      </c>
      <c r="Q51" s="65">
        <v>15484.610279721555</v>
      </c>
      <c r="R51" s="65">
        <f t="shared" si="10"/>
        <v>176460.49936825337</v>
      </c>
      <c r="S51" s="77" t="str">
        <f t="shared" si="9"/>
        <v>CF</v>
      </c>
    </row>
    <row r="52" spans="1:19" s="10" customFormat="1" x14ac:dyDescent="0.25">
      <c r="A52" s="9"/>
      <c r="B52" s="9"/>
      <c r="C52" s="69" t="s">
        <v>154</v>
      </c>
      <c r="D52" s="65">
        <v>9900</v>
      </c>
      <c r="E52" s="64"/>
      <c r="F52" s="65">
        <v>9999</v>
      </c>
      <c r="G52" s="65">
        <v>10198.98</v>
      </c>
      <c r="H52" s="65">
        <v>10402.9596</v>
      </c>
      <c r="I52" s="65">
        <v>10611.018792000001</v>
      </c>
      <c r="J52" s="65">
        <v>10398.79841616</v>
      </c>
      <c r="K52" s="65">
        <v>10502.7864003216</v>
      </c>
      <c r="L52" s="65">
        <v>10607.814264324816</v>
      </c>
      <c r="M52" s="65">
        <v>10713.892406968063</v>
      </c>
      <c r="N52" s="65">
        <v>10499.614558828702</v>
      </c>
      <c r="O52" s="65">
        <v>10929.241644348122</v>
      </c>
      <c r="P52" s="65">
        <v>11038.534060791602</v>
      </c>
      <c r="Q52" s="65">
        <v>11148.919401399518</v>
      </c>
      <c r="R52" s="65">
        <f t="shared" si="10"/>
        <v>127051.55954514243</v>
      </c>
      <c r="S52" s="77" t="str">
        <f t="shared" si="9"/>
        <v>CF</v>
      </c>
    </row>
    <row r="53" spans="1:19" s="10" customFormat="1" x14ac:dyDescent="0.25">
      <c r="A53" s="9"/>
      <c r="B53" s="9"/>
      <c r="C53" s="69" t="s">
        <v>155</v>
      </c>
      <c r="D53" s="65">
        <v>2970</v>
      </c>
      <c r="E53" s="64"/>
      <c r="F53" s="65">
        <v>2999.7</v>
      </c>
      <c r="G53" s="65">
        <v>3059.694</v>
      </c>
      <c r="H53" s="65">
        <v>3120.8878800000002</v>
      </c>
      <c r="I53" s="65">
        <v>3183.3056376000004</v>
      </c>
      <c r="J53" s="65">
        <v>3119.6395248480003</v>
      </c>
      <c r="K53" s="65">
        <v>3150.8359200964805</v>
      </c>
      <c r="L53" s="65">
        <v>3182.3442792974456</v>
      </c>
      <c r="M53" s="65">
        <v>3214.1677220904203</v>
      </c>
      <c r="N53" s="65">
        <v>3149.8843676486117</v>
      </c>
      <c r="O53" s="65">
        <v>3278.7724933044378</v>
      </c>
      <c r="P53" s="65">
        <v>3311.5602182374823</v>
      </c>
      <c r="Q53" s="65">
        <v>3344.6758204198572</v>
      </c>
      <c r="R53" s="65">
        <f t="shared" si="10"/>
        <v>38115.467863542734</v>
      </c>
      <c r="S53" s="77" t="str">
        <f t="shared" si="9"/>
        <v>CF</v>
      </c>
    </row>
    <row r="54" spans="1:19" s="10" customFormat="1" x14ac:dyDescent="0.25">
      <c r="A54" s="9"/>
      <c r="B54" s="9"/>
      <c r="C54" s="69" t="s">
        <v>156</v>
      </c>
      <c r="D54" s="65">
        <v>125478</v>
      </c>
      <c r="E54" s="64"/>
      <c r="F54" s="65">
        <v>126732.78</v>
      </c>
      <c r="G54" s="65">
        <v>129267.4356</v>
      </c>
      <c r="H54" s="65">
        <v>131852.784312</v>
      </c>
      <c r="I54" s="65">
        <v>134489.83999824</v>
      </c>
      <c r="J54" s="65">
        <v>131800.04319827521</v>
      </c>
      <c r="K54" s="65">
        <v>133118.04363025795</v>
      </c>
      <c r="L54" s="65">
        <v>134449.22406656053</v>
      </c>
      <c r="M54" s="65">
        <v>135793.71630722613</v>
      </c>
      <c r="N54" s="65">
        <v>133077.84198108161</v>
      </c>
      <c r="O54" s="65">
        <v>138523.17000500139</v>
      </c>
      <c r="P54" s="65">
        <v>139908.40170505139</v>
      </c>
      <c r="Q54" s="65">
        <v>141307.4857221019</v>
      </c>
      <c r="R54" s="65">
        <f t="shared" si="10"/>
        <v>1610320.7665257961</v>
      </c>
      <c r="S54" s="77" t="str">
        <f t="shared" si="9"/>
        <v>CF</v>
      </c>
    </row>
    <row r="55" spans="1:19" s="10" customFormat="1" x14ac:dyDescent="0.25">
      <c r="A55" s="9"/>
      <c r="B55" s="9"/>
      <c r="C55" s="69" t="s">
        <v>157</v>
      </c>
      <c r="D55" s="65">
        <v>13750</v>
      </c>
      <c r="E55" s="64"/>
      <c r="F55" s="65">
        <v>13887.5</v>
      </c>
      <c r="G55" s="65">
        <v>14165.25</v>
      </c>
      <c r="H55" s="65">
        <v>14448.555</v>
      </c>
      <c r="I55" s="65">
        <v>14737.526100000001</v>
      </c>
      <c r="J55" s="65">
        <v>14442.775578000001</v>
      </c>
      <c r="K55" s="65">
        <v>14587.20333378</v>
      </c>
      <c r="L55" s="65">
        <v>14733.075367117801</v>
      </c>
      <c r="M55" s="65">
        <v>14880.406120788979</v>
      </c>
      <c r="N55" s="65">
        <v>14582.797998373198</v>
      </c>
      <c r="O55" s="65">
        <v>15179.502283816837</v>
      </c>
      <c r="P55" s="65">
        <v>15331.297306655006</v>
      </c>
      <c r="Q55" s="65">
        <v>15484.610279721555</v>
      </c>
      <c r="R55" s="65">
        <f t="shared" si="10"/>
        <v>176460.49936825337</v>
      </c>
      <c r="S55" s="77" t="str">
        <f t="shared" si="9"/>
        <v>CF</v>
      </c>
    </row>
    <row r="56" spans="1:19" s="12" customFormat="1" x14ac:dyDescent="0.25">
      <c r="A56" s="8"/>
      <c r="B56" s="8"/>
      <c r="C56" s="70" t="s">
        <v>158</v>
      </c>
      <c r="D56" s="84">
        <f>SUM(D29:D55)</f>
        <v>5747615.5</v>
      </c>
      <c r="E56" s="83"/>
      <c r="F56" s="84">
        <f t="shared" ref="F56:Q56" si="11">SUM(F29:F55)</f>
        <v>789305.40500000003</v>
      </c>
      <c r="G56" s="84">
        <f t="shared" si="11"/>
        <v>805091.51309999987</v>
      </c>
      <c r="H56" s="84">
        <f t="shared" si="11"/>
        <v>821193.34336200019</v>
      </c>
      <c r="I56" s="84">
        <f t="shared" si="11"/>
        <v>837617.21022924013</v>
      </c>
      <c r="J56" s="84">
        <f t="shared" si="11"/>
        <v>820864.86602465517</v>
      </c>
      <c r="K56" s="84">
        <f t="shared" si="11"/>
        <v>829073.51468490204</v>
      </c>
      <c r="L56" s="84">
        <f t="shared" si="11"/>
        <v>837364.24983175052</v>
      </c>
      <c r="M56" s="84">
        <f t="shared" si="11"/>
        <v>845737.8923300684</v>
      </c>
      <c r="N56" s="84">
        <f t="shared" si="11"/>
        <v>828823.13448346686</v>
      </c>
      <c r="O56" s="84">
        <f t="shared" si="11"/>
        <v>862737.22396590281</v>
      </c>
      <c r="P56" s="84">
        <f t="shared" si="11"/>
        <v>871364.59620556154</v>
      </c>
      <c r="Q56" s="84">
        <f t="shared" si="11"/>
        <v>880078.24216761754</v>
      </c>
      <c r="R56" s="84">
        <f>SUM(R29:R55)</f>
        <v>10029251.191385167</v>
      </c>
      <c r="S56" s="77" t="str">
        <f t="shared" si="9"/>
        <v>CF</v>
      </c>
    </row>
    <row r="57" spans="1:19" s="10" customFormat="1" x14ac:dyDescent="0.25">
      <c r="A57" s="9"/>
      <c r="B57" s="9"/>
      <c r="C57" s="69" t="s">
        <v>159</v>
      </c>
      <c r="D57" s="80">
        <v>9559542</v>
      </c>
      <c r="E57" s="81"/>
      <c r="F57" s="80">
        <v>805800</v>
      </c>
      <c r="G57" s="80">
        <v>846822</v>
      </c>
      <c r="H57" s="80">
        <v>834360</v>
      </c>
      <c r="I57" s="80">
        <v>804780</v>
      </c>
      <c r="J57" s="80">
        <v>810900</v>
      </c>
      <c r="K57" s="80">
        <v>828240</v>
      </c>
      <c r="L57" s="80">
        <v>844560</v>
      </c>
      <c r="M57" s="80">
        <v>821100</v>
      </c>
      <c r="N57" s="80">
        <v>793560</v>
      </c>
      <c r="O57" s="80">
        <v>812940</v>
      </c>
      <c r="P57" s="80">
        <v>819060</v>
      </c>
      <c r="Q57" s="80">
        <v>837420</v>
      </c>
      <c r="R57" s="80">
        <f t="shared" ref="R57:R62" si="12">SUM(F57:Q57)</f>
        <v>9859542</v>
      </c>
      <c r="S57" s="77" t="str">
        <f t="shared" si="9"/>
        <v>CF</v>
      </c>
    </row>
    <row r="58" spans="1:19" s="10" customFormat="1" x14ac:dyDescent="0.25">
      <c r="A58" s="9"/>
      <c r="B58" s="9"/>
      <c r="C58" s="69" t="s">
        <v>160</v>
      </c>
      <c r="D58" s="65">
        <v>1600035</v>
      </c>
      <c r="E58" s="64"/>
      <c r="F58" s="65">
        <v>142392</v>
      </c>
      <c r="G58" s="65">
        <v>141372</v>
      </c>
      <c r="H58" s="65">
        <v>140556</v>
      </c>
      <c r="I58" s="65">
        <v>141678</v>
      </c>
      <c r="J58" s="65">
        <v>143004</v>
      </c>
      <c r="K58" s="65">
        <v>141780</v>
      </c>
      <c r="L58" s="65">
        <v>143412</v>
      </c>
      <c r="M58" s="65">
        <v>139230</v>
      </c>
      <c r="N58" s="65">
        <v>140556</v>
      </c>
      <c r="O58" s="65">
        <v>143412</v>
      </c>
      <c r="P58" s="65">
        <v>141474</v>
      </c>
      <c r="Q58" s="65">
        <v>141270</v>
      </c>
      <c r="R58" s="65">
        <f t="shared" si="12"/>
        <v>1700136</v>
      </c>
      <c r="S58" s="77" t="str">
        <f t="shared" si="9"/>
        <v>CF</v>
      </c>
    </row>
    <row r="59" spans="1:19" s="10" customFormat="1" x14ac:dyDescent="0.25">
      <c r="A59" s="9"/>
      <c r="B59" s="9"/>
      <c r="C59" s="69" t="s">
        <v>161</v>
      </c>
      <c r="D59" s="65">
        <v>693800</v>
      </c>
      <c r="E59" s="64"/>
      <c r="F59" s="65">
        <v>62628</v>
      </c>
      <c r="G59" s="65">
        <v>62730</v>
      </c>
      <c r="H59" s="65">
        <v>63138</v>
      </c>
      <c r="I59" s="65">
        <v>58038</v>
      </c>
      <c r="J59" s="65">
        <v>59874</v>
      </c>
      <c r="K59" s="65">
        <v>58650</v>
      </c>
      <c r="L59" s="65">
        <v>61200</v>
      </c>
      <c r="M59" s="65">
        <v>60180</v>
      </c>
      <c r="N59" s="65">
        <v>63546</v>
      </c>
      <c r="O59" s="65">
        <v>59466</v>
      </c>
      <c r="P59" s="65">
        <v>58548</v>
      </c>
      <c r="Q59" s="65">
        <v>64362</v>
      </c>
      <c r="R59" s="65">
        <f t="shared" si="12"/>
        <v>732360</v>
      </c>
      <c r="S59" s="77" t="str">
        <f t="shared" si="9"/>
        <v>CF</v>
      </c>
    </row>
    <row r="60" spans="1:19" s="10" customFormat="1" x14ac:dyDescent="0.25">
      <c r="A60" s="9"/>
      <c r="B60" s="9"/>
      <c r="C60" s="69" t="s">
        <v>162</v>
      </c>
      <c r="D60" s="65">
        <v>0</v>
      </c>
      <c r="E60" s="64"/>
      <c r="F60" s="65">
        <v>0</v>
      </c>
      <c r="G60" s="65">
        <v>0</v>
      </c>
      <c r="H60" s="65">
        <v>0</v>
      </c>
      <c r="I60" s="65">
        <v>0</v>
      </c>
      <c r="J60" s="65">
        <v>0</v>
      </c>
      <c r="K60" s="65">
        <v>0</v>
      </c>
      <c r="L60" s="65">
        <v>0</v>
      </c>
      <c r="M60" s="65">
        <v>0</v>
      </c>
      <c r="N60" s="65">
        <v>0</v>
      </c>
      <c r="O60" s="65">
        <v>0</v>
      </c>
      <c r="P60" s="65">
        <v>0</v>
      </c>
      <c r="Q60" s="65">
        <v>0</v>
      </c>
      <c r="R60" s="65">
        <f t="shared" si="12"/>
        <v>0</v>
      </c>
      <c r="S60" s="77" t="str">
        <f t="shared" si="9"/>
        <v>CF</v>
      </c>
    </row>
    <row r="61" spans="1:19" s="10" customFormat="1" x14ac:dyDescent="0.25">
      <c r="A61" s="9"/>
      <c r="B61" s="9"/>
      <c r="C61" s="69" t="s">
        <v>163</v>
      </c>
      <c r="D61" s="65">
        <v>612930.4</v>
      </c>
      <c r="E61" s="64"/>
      <c r="F61" s="65">
        <v>50143.199999999997</v>
      </c>
      <c r="G61" s="65">
        <v>53386.8</v>
      </c>
      <c r="H61" s="65">
        <v>52009.8</v>
      </c>
      <c r="I61" s="65">
        <v>52713.599999999999</v>
      </c>
      <c r="J61" s="65">
        <v>53499</v>
      </c>
      <c r="K61" s="65">
        <v>52132.2</v>
      </c>
      <c r="L61" s="65">
        <v>52438.2</v>
      </c>
      <c r="M61" s="65">
        <v>55845</v>
      </c>
      <c r="N61" s="65">
        <v>55416.6</v>
      </c>
      <c r="O61" s="65">
        <v>52305.599999999999</v>
      </c>
      <c r="P61" s="65">
        <v>51285.599999999999</v>
      </c>
      <c r="Q61" s="65">
        <v>51754.8</v>
      </c>
      <c r="R61" s="65">
        <f t="shared" si="12"/>
        <v>632930.4</v>
      </c>
      <c r="S61" s="77" t="str">
        <f t="shared" si="9"/>
        <v>CF</v>
      </c>
    </row>
    <row r="62" spans="1:19" s="10" customFormat="1" x14ac:dyDescent="0.25">
      <c r="A62" s="9"/>
      <c r="B62" s="9"/>
      <c r="C62" s="69" t="s">
        <v>164</v>
      </c>
      <c r="D62" s="65">
        <v>0</v>
      </c>
      <c r="E62" s="64"/>
      <c r="F62" s="65">
        <v>0</v>
      </c>
      <c r="G62" s="65">
        <v>0</v>
      </c>
      <c r="H62" s="65">
        <v>0</v>
      </c>
      <c r="I62" s="65">
        <v>0</v>
      </c>
      <c r="J62" s="65">
        <v>0</v>
      </c>
      <c r="K62" s="65">
        <v>0</v>
      </c>
      <c r="L62" s="65">
        <v>0</v>
      </c>
      <c r="M62" s="65">
        <v>0</v>
      </c>
      <c r="N62" s="65">
        <v>0</v>
      </c>
      <c r="O62" s="65">
        <v>0</v>
      </c>
      <c r="P62" s="65">
        <v>0</v>
      </c>
      <c r="Q62" s="65">
        <v>0</v>
      </c>
      <c r="R62" s="65">
        <f t="shared" si="12"/>
        <v>0</v>
      </c>
      <c r="S62" s="77" t="str">
        <f t="shared" si="9"/>
        <v>CF</v>
      </c>
    </row>
    <row r="63" spans="1:19" s="12" customFormat="1" x14ac:dyDescent="0.25">
      <c r="A63" s="8"/>
      <c r="B63" s="8"/>
      <c r="C63" s="70" t="s">
        <v>165</v>
      </c>
      <c r="D63" s="84">
        <f>SUM(D57:D62)</f>
        <v>12466307.4</v>
      </c>
      <c r="E63" s="83"/>
      <c r="F63" s="84">
        <f t="shared" ref="F63:R63" si="13">SUM(F57:F62)</f>
        <v>1060963.2</v>
      </c>
      <c r="G63" s="84">
        <f t="shared" si="13"/>
        <v>1104310.8</v>
      </c>
      <c r="H63" s="84">
        <f t="shared" si="13"/>
        <v>1090063.8</v>
      </c>
      <c r="I63" s="84">
        <f t="shared" si="13"/>
        <v>1057209.6000000001</v>
      </c>
      <c r="J63" s="84">
        <f t="shared" si="13"/>
        <v>1067277</v>
      </c>
      <c r="K63" s="84">
        <f t="shared" si="13"/>
        <v>1080802.2</v>
      </c>
      <c r="L63" s="84">
        <f t="shared" si="13"/>
        <v>1101610.2</v>
      </c>
      <c r="M63" s="84">
        <f t="shared" si="13"/>
        <v>1076355</v>
      </c>
      <c r="N63" s="84">
        <f t="shared" si="13"/>
        <v>1053078.6000000001</v>
      </c>
      <c r="O63" s="84">
        <f t="shared" si="13"/>
        <v>1068123.6000000001</v>
      </c>
      <c r="P63" s="84">
        <f t="shared" si="13"/>
        <v>1070367.6000000001</v>
      </c>
      <c r="Q63" s="84">
        <f t="shared" si="13"/>
        <v>1094806.8</v>
      </c>
      <c r="R63" s="84">
        <f t="shared" si="13"/>
        <v>12924968.4</v>
      </c>
      <c r="S63" s="77" t="str">
        <f t="shared" si="9"/>
        <v>CF</v>
      </c>
    </row>
    <row r="64" spans="1:19" s="12" customFormat="1" ht="15.75" thickBot="1" x14ac:dyDescent="0.3">
      <c r="A64" s="8"/>
      <c r="B64" s="8"/>
      <c r="C64" s="8" t="s">
        <v>129</v>
      </c>
      <c r="D64" s="85">
        <f>SUM(D63,D56)</f>
        <v>18213922.899999999</v>
      </c>
      <c r="E64" s="83"/>
      <c r="F64" s="85">
        <f>SUM(F63,F56)</f>
        <v>1850268.605</v>
      </c>
      <c r="G64" s="85">
        <f t="shared" ref="G64:R64" si="14">SUM(G63,G56)</f>
        <v>1909402.3130999999</v>
      </c>
      <c r="H64" s="85">
        <f t="shared" si="14"/>
        <v>1911257.1433620001</v>
      </c>
      <c r="I64" s="85">
        <f t="shared" si="14"/>
        <v>1894826.8102292402</v>
      </c>
      <c r="J64" s="85">
        <f t="shared" si="14"/>
        <v>1888141.8660246553</v>
      </c>
      <c r="K64" s="85">
        <f t="shared" si="14"/>
        <v>1909875.714684902</v>
      </c>
      <c r="L64" s="85">
        <f t="shared" si="14"/>
        <v>1938974.4498317505</v>
      </c>
      <c r="M64" s="85">
        <f t="shared" si="14"/>
        <v>1922092.8923300684</v>
      </c>
      <c r="N64" s="85">
        <f t="shared" si="14"/>
        <v>1881901.7344834669</v>
      </c>
      <c r="O64" s="85">
        <f t="shared" si="14"/>
        <v>1930860.8239659029</v>
      </c>
      <c r="P64" s="85">
        <f t="shared" si="14"/>
        <v>1941732.1962055615</v>
      </c>
      <c r="Q64" s="85">
        <f t="shared" si="14"/>
        <v>1974885.0421676175</v>
      </c>
      <c r="R64" s="85">
        <f t="shared" si="14"/>
        <v>22954219.591385167</v>
      </c>
      <c r="S64" s="77" t="str">
        <f t="shared" si="9"/>
        <v>CF</v>
      </c>
    </row>
    <row r="65" spans="1:19" s="12" customFormat="1" ht="12" customHeight="1" thickTop="1" x14ac:dyDescent="0.25">
      <c r="A65" s="8"/>
      <c r="B65" s="8"/>
      <c r="C65" s="8"/>
      <c r="D65" s="67"/>
      <c r="E65" s="8"/>
      <c r="F65" s="67"/>
      <c r="G65" s="67"/>
      <c r="H65" s="67"/>
      <c r="I65" s="67"/>
      <c r="J65" s="67"/>
      <c r="K65" s="67"/>
      <c r="L65" s="67"/>
      <c r="M65" s="67"/>
      <c r="N65" s="67"/>
      <c r="O65" s="67"/>
      <c r="P65" s="67"/>
      <c r="Q65" s="67"/>
      <c r="R65" s="67"/>
      <c r="S65" s="77"/>
    </row>
    <row r="66" spans="1:19" x14ac:dyDescent="0.25">
      <c r="A66" s="3"/>
      <c r="B66" s="3"/>
      <c r="C66" s="8" t="s">
        <v>109</v>
      </c>
      <c r="D66" s="86">
        <f>D$25-D$64</f>
        <v>6170681.1000000015</v>
      </c>
      <c r="E66" s="83"/>
      <c r="F66" s="86">
        <f t="shared" ref="F66:R66" si="15">F$25-F$64</f>
        <v>279308.41583333304</v>
      </c>
      <c r="G66" s="86">
        <f t="shared" si="15"/>
        <v>315571.53194166673</v>
      </c>
      <c r="H66" s="86">
        <f t="shared" si="15"/>
        <v>113872.23613008345</v>
      </c>
      <c r="I66" s="86">
        <f t="shared" si="15"/>
        <v>218044.50105776382</v>
      </c>
      <c r="J66" s="86">
        <f t="shared" si="15"/>
        <v>168455.45837521879</v>
      </c>
      <c r="K66" s="86">
        <f t="shared" si="15"/>
        <v>222591.43447097368</v>
      </c>
      <c r="L66" s="86">
        <f t="shared" si="15"/>
        <v>160393.96383256628</v>
      </c>
      <c r="M66" s="86">
        <f t="shared" si="15"/>
        <v>265320.55119760544</v>
      </c>
      <c r="N66" s="86">
        <f t="shared" si="15"/>
        <v>421993.26551653305</v>
      </c>
      <c r="O66" s="86">
        <f t="shared" si="15"/>
        <v>522735.97603409691</v>
      </c>
      <c r="P66" s="86">
        <f t="shared" si="15"/>
        <v>719632.40379443858</v>
      </c>
      <c r="Q66" s="86">
        <f t="shared" si="15"/>
        <v>851002.45343238255</v>
      </c>
      <c r="R66" s="86">
        <f t="shared" si="15"/>
        <v>4258922.1916166581</v>
      </c>
      <c r="S66" s="77" t="str">
        <f t="shared" ref="S66" si="16">IF(R66=SUM(F66:Q66),"CF","ERROR")</f>
        <v>CF</v>
      </c>
    </row>
    <row r="67" spans="1:19" ht="12" customHeight="1" x14ac:dyDescent="0.25"/>
    <row r="68" spans="1:19" x14ac:dyDescent="0.25">
      <c r="C68" s="69" t="s">
        <v>110</v>
      </c>
      <c r="D68" s="80">
        <v>100000</v>
      </c>
      <c r="E68" s="81"/>
      <c r="F68" s="80">
        <v>12500</v>
      </c>
      <c r="G68" s="80">
        <v>12500</v>
      </c>
      <c r="H68" s="80">
        <v>12500</v>
      </c>
      <c r="I68" s="80">
        <v>12500</v>
      </c>
      <c r="J68" s="80">
        <v>12500</v>
      </c>
      <c r="K68" s="80">
        <v>12500</v>
      </c>
      <c r="L68" s="80">
        <v>12500</v>
      </c>
      <c r="M68" s="80">
        <v>12500</v>
      </c>
      <c r="N68" s="80">
        <v>12500</v>
      </c>
      <c r="O68" s="80">
        <v>12500</v>
      </c>
      <c r="P68" s="80">
        <v>12500</v>
      </c>
      <c r="Q68" s="80">
        <v>12500</v>
      </c>
      <c r="R68" s="80">
        <f t="shared" ref="R68:R71" si="17">SUM(F68:Q68)</f>
        <v>150000</v>
      </c>
      <c r="S68" s="77" t="str">
        <f t="shared" ref="S68:S71" si="18">IF(R68=SUM(F68:Q68),"CF","ERROR")</f>
        <v>CF</v>
      </c>
    </row>
    <row r="69" spans="1:19" x14ac:dyDescent="0.25">
      <c r="C69" s="69" t="s">
        <v>111</v>
      </c>
      <c r="D69" s="65">
        <v>800000</v>
      </c>
      <c r="F69" s="43">
        <v>80000</v>
      </c>
      <c r="G69" s="43">
        <v>80000</v>
      </c>
      <c r="H69" s="43">
        <v>80000</v>
      </c>
      <c r="I69" s="43">
        <v>80000</v>
      </c>
      <c r="J69" s="43">
        <v>80000</v>
      </c>
      <c r="K69" s="43">
        <v>80000</v>
      </c>
      <c r="L69" s="43">
        <f>K69/2</f>
        <v>40000</v>
      </c>
      <c r="M69" s="43">
        <v>40000</v>
      </c>
      <c r="N69" s="43">
        <v>40000</v>
      </c>
      <c r="O69" s="43">
        <v>80000</v>
      </c>
      <c r="P69" s="43">
        <v>80000</v>
      </c>
      <c r="Q69" s="43">
        <v>80000</v>
      </c>
      <c r="R69" s="65">
        <f t="shared" si="17"/>
        <v>840000</v>
      </c>
      <c r="S69" s="77" t="str">
        <f t="shared" si="18"/>
        <v>CF</v>
      </c>
    </row>
    <row r="70" spans="1:19" x14ac:dyDescent="0.25">
      <c r="C70" s="69" t="s">
        <v>112</v>
      </c>
      <c r="D70" s="65">
        <v>0</v>
      </c>
      <c r="F70" s="65">
        <v>0</v>
      </c>
      <c r="G70" s="65">
        <v>0</v>
      </c>
      <c r="H70" s="65">
        <v>0</v>
      </c>
      <c r="I70" s="65">
        <v>0</v>
      </c>
      <c r="J70" s="65">
        <v>0</v>
      </c>
      <c r="K70" s="65">
        <v>0</v>
      </c>
      <c r="L70" s="65">
        <v>0</v>
      </c>
      <c r="M70" s="65">
        <v>0</v>
      </c>
      <c r="N70" s="65">
        <v>0</v>
      </c>
      <c r="O70" s="65">
        <v>0</v>
      </c>
      <c r="P70" s="65">
        <v>0</v>
      </c>
      <c r="Q70" s="65">
        <v>0</v>
      </c>
      <c r="R70" s="65">
        <f t="shared" si="17"/>
        <v>0</v>
      </c>
      <c r="S70" s="77" t="str">
        <f t="shared" si="18"/>
        <v>CF</v>
      </c>
    </row>
    <row r="71" spans="1:19" x14ac:dyDescent="0.25">
      <c r="C71" s="69" t="s">
        <v>113</v>
      </c>
      <c r="D71" s="65">
        <v>0</v>
      </c>
      <c r="F71" s="65">
        <v>0</v>
      </c>
      <c r="G71" s="65">
        <v>0</v>
      </c>
      <c r="H71" s="65">
        <v>0</v>
      </c>
      <c r="I71" s="65">
        <v>0</v>
      </c>
      <c r="J71" s="65">
        <v>0</v>
      </c>
      <c r="K71" s="65">
        <v>0</v>
      </c>
      <c r="L71" s="65">
        <v>0</v>
      </c>
      <c r="M71" s="65">
        <v>0</v>
      </c>
      <c r="N71" s="65">
        <v>0</v>
      </c>
      <c r="O71" s="65">
        <v>0</v>
      </c>
      <c r="P71" s="65">
        <v>0</v>
      </c>
      <c r="Q71" s="65">
        <v>0</v>
      </c>
      <c r="R71" s="65">
        <f t="shared" si="17"/>
        <v>0</v>
      </c>
      <c r="S71" s="77" t="str">
        <f t="shared" si="18"/>
        <v>CF</v>
      </c>
    </row>
    <row r="72" spans="1:19" x14ac:dyDescent="0.25">
      <c r="C72" s="70" t="s">
        <v>166</v>
      </c>
      <c r="D72" s="86">
        <f>SUM(D68:D71)</f>
        <v>900000</v>
      </c>
      <c r="E72" s="83"/>
      <c r="F72" s="86">
        <f>SUM(F68:F71)</f>
        <v>92500</v>
      </c>
      <c r="G72" s="86">
        <f t="shared" ref="G72:R72" si="19">SUM(G68:G71)</f>
        <v>92500</v>
      </c>
      <c r="H72" s="86">
        <f t="shared" si="19"/>
        <v>92500</v>
      </c>
      <c r="I72" s="86">
        <f t="shared" si="19"/>
        <v>92500</v>
      </c>
      <c r="J72" s="86">
        <f t="shared" si="19"/>
        <v>92500</v>
      </c>
      <c r="K72" s="86">
        <f t="shared" si="19"/>
        <v>92500</v>
      </c>
      <c r="L72" s="86">
        <f t="shared" si="19"/>
        <v>52500</v>
      </c>
      <c r="M72" s="86">
        <f t="shared" si="19"/>
        <v>52500</v>
      </c>
      <c r="N72" s="86">
        <f t="shared" si="19"/>
        <v>52500</v>
      </c>
      <c r="O72" s="86">
        <f t="shared" si="19"/>
        <v>92500</v>
      </c>
      <c r="P72" s="86">
        <f t="shared" si="19"/>
        <v>92500</v>
      </c>
      <c r="Q72" s="86">
        <f t="shared" si="19"/>
        <v>92500</v>
      </c>
      <c r="R72" s="86">
        <f t="shared" si="19"/>
        <v>990000</v>
      </c>
      <c r="S72" s="77" t="str">
        <f t="shared" ref="S72:S73" si="20">IF(R72=SUM(F72:Q72),"CF","ERROR")</f>
        <v>CF</v>
      </c>
    </row>
    <row r="73" spans="1:19" ht="15.75" thickBot="1" x14ac:dyDescent="0.3">
      <c r="C73" s="8" t="s">
        <v>114</v>
      </c>
      <c r="D73" s="85">
        <f>D66-D72</f>
        <v>5270681.1000000015</v>
      </c>
      <c r="E73" s="83"/>
      <c r="F73" s="85">
        <f t="shared" ref="F73:R73" si="21">F66-F72</f>
        <v>186808.41583333304</v>
      </c>
      <c r="G73" s="85">
        <f t="shared" si="21"/>
        <v>223071.53194166673</v>
      </c>
      <c r="H73" s="85">
        <f t="shared" si="21"/>
        <v>21372.236130083445</v>
      </c>
      <c r="I73" s="85">
        <f t="shared" si="21"/>
        <v>125544.50105776382</v>
      </c>
      <c r="J73" s="85">
        <f t="shared" si="21"/>
        <v>75955.45837521879</v>
      </c>
      <c r="K73" s="85">
        <f t="shared" si="21"/>
        <v>130091.43447097368</v>
      </c>
      <c r="L73" s="85">
        <f t="shared" si="21"/>
        <v>107893.96383256628</v>
      </c>
      <c r="M73" s="85">
        <f t="shared" si="21"/>
        <v>212820.55119760544</v>
      </c>
      <c r="N73" s="85">
        <f t="shared" si="21"/>
        <v>369493.26551653305</v>
      </c>
      <c r="O73" s="85">
        <f t="shared" si="21"/>
        <v>430235.97603409691</v>
      </c>
      <c r="P73" s="85">
        <f t="shared" si="21"/>
        <v>627132.40379443858</v>
      </c>
      <c r="Q73" s="85">
        <f t="shared" si="21"/>
        <v>758502.45343238255</v>
      </c>
      <c r="R73" s="85">
        <f t="shared" si="21"/>
        <v>3268922.1916166581</v>
      </c>
      <c r="S73" s="77" t="str">
        <f t="shared" si="20"/>
        <v>CF</v>
      </c>
    </row>
    <row r="74" spans="1:19" ht="15.75" thickTop="1" x14ac:dyDescent="0.25">
      <c r="C74" s="8"/>
      <c r="D74" s="87" t="str">
        <f>IF(ROUNDUP(D17-D23-D56-D63-D72,0)=ROUNDUP(D73,0),"F","ERROR")</f>
        <v>F</v>
      </c>
      <c r="F74" s="87" t="str">
        <f t="shared" ref="F74:R74" si="22">IF(ROUNDUP(F17-F23-F56-F63-F72,0)=ROUNDUP(F73,0),"F","ERROR")</f>
        <v>F</v>
      </c>
      <c r="G74" s="87" t="str">
        <f t="shared" si="22"/>
        <v>F</v>
      </c>
      <c r="H74" s="87" t="str">
        <f t="shared" si="22"/>
        <v>F</v>
      </c>
      <c r="I74" s="87" t="str">
        <f t="shared" si="22"/>
        <v>F</v>
      </c>
      <c r="J74" s="87" t="str">
        <f t="shared" si="22"/>
        <v>F</v>
      </c>
      <c r="K74" s="87" t="str">
        <f t="shared" si="22"/>
        <v>F</v>
      </c>
      <c r="L74" s="87" t="str">
        <f t="shared" si="22"/>
        <v>F</v>
      </c>
      <c r="M74" s="87" t="str">
        <f t="shared" si="22"/>
        <v>F</v>
      </c>
      <c r="N74" s="87" t="str">
        <f t="shared" si="22"/>
        <v>F</v>
      </c>
      <c r="O74" s="87" t="str">
        <f t="shared" si="22"/>
        <v>F</v>
      </c>
      <c r="P74" s="87" t="str">
        <f t="shared" si="22"/>
        <v>F</v>
      </c>
      <c r="Q74" s="87" t="str">
        <f t="shared" si="22"/>
        <v>F</v>
      </c>
      <c r="R74" s="87" t="str">
        <f t="shared" si="22"/>
        <v>F</v>
      </c>
    </row>
  </sheetData>
  <phoneticPr fontId="7" type="noConversion"/>
  <pageMargins left="0.7" right="0.7" top="0.75" bottom="0.75" header="0.3" footer="0.3"/>
  <pageSetup orientation="portrait" r:id="rId1"/>
  <ignoredErrors>
    <ignoredError sqref="R56" formula="1"/>
    <ignoredError sqref="D5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FFEFC-A64A-4101-AF53-908CDFC0473C}">
  <sheetPr>
    <tabColor rgb="FF469CA3"/>
  </sheetPr>
  <dimension ref="A1:BN58"/>
  <sheetViews>
    <sheetView showGridLines="0" workbookViewId="0">
      <pane ySplit="10" topLeftCell="A11" activePane="bottomLeft" state="frozen"/>
      <selection pane="bottomLeft" activeCell="C9" sqref="C9"/>
    </sheetView>
  </sheetViews>
  <sheetFormatPr defaultRowHeight="15" x14ac:dyDescent="0.25"/>
  <cols>
    <col min="1" max="1" width="3.140625" customWidth="1"/>
    <col min="2" max="2" width="3.7109375" customWidth="1"/>
    <col min="3" max="3" width="38" bestFit="1" customWidth="1"/>
    <col min="4" max="4" width="14.28515625" customWidth="1"/>
    <col min="5" max="5" width="2" customWidth="1"/>
    <col min="6" max="18" width="14.28515625" customWidth="1"/>
  </cols>
  <sheetData>
    <row r="1" spans="1:66" s="17" customFormat="1" ht="29.25" customHeight="1" x14ac:dyDescent="0.25">
      <c r="A1" s="23"/>
      <c r="B1" s="40" t="s">
        <v>54</v>
      </c>
      <c r="C1" s="23"/>
      <c r="D1" s="40"/>
      <c r="E1" s="40"/>
      <c r="F1" s="23"/>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row>
    <row r="2" spans="1:66" ht="10.5" customHeight="1" x14ac:dyDescent="0.25">
      <c r="B2" s="18"/>
    </row>
    <row r="3" spans="1:66" s="41" customFormat="1" ht="15.75" customHeight="1" x14ac:dyDescent="0.25">
      <c r="C3" s="46" t="s">
        <v>64</v>
      </c>
      <c r="D3" s="42" t="str">
        <f>'Cash Flow (Indirect)'!$D3</f>
        <v>Input</v>
      </c>
    </row>
    <row r="4" spans="1:66" s="41" customFormat="1" ht="15.75" customHeight="1" x14ac:dyDescent="0.25">
      <c r="C4" s="46" t="s">
        <v>108</v>
      </c>
      <c r="D4" s="42" t="str">
        <f>'Cash Flow (Indirect)'!$D4</f>
        <v>Input</v>
      </c>
    </row>
    <row r="5" spans="1:66" s="41" customFormat="1" ht="15.75" x14ac:dyDescent="0.25">
      <c r="C5" s="46" t="s">
        <v>73</v>
      </c>
      <c r="D5" s="42" t="str">
        <f>'Cash Flow (Indirect)'!$D5</f>
        <v>Input</v>
      </c>
    </row>
    <row r="6" spans="1:66" ht="15.75" x14ac:dyDescent="0.25">
      <c r="B6" s="18"/>
      <c r="C6" s="46" t="s">
        <v>66</v>
      </c>
      <c r="D6" s="42" t="str">
        <f>'Cash Flow (Indirect)'!$D6</f>
        <v>Forecast 6+6</v>
      </c>
      <c r="G6" s="3"/>
    </row>
    <row r="7" spans="1:66" ht="15.75" x14ac:dyDescent="0.25">
      <c r="B7" s="18"/>
      <c r="C7" s="45"/>
      <c r="D7" s="44"/>
      <c r="E7" s="50"/>
    </row>
    <row r="8" spans="1:66" x14ac:dyDescent="0.25">
      <c r="A8" s="10"/>
    </row>
    <row r="9" spans="1:66" x14ac:dyDescent="0.25">
      <c r="A9" s="9"/>
      <c r="B9" s="9"/>
      <c r="D9" s="56" t="s">
        <v>19</v>
      </c>
      <c r="E9" s="11"/>
      <c r="F9" s="56" t="str">
        <f t="shared" ref="F9:R9" si="0">$D$6</f>
        <v>Forecast 6+6</v>
      </c>
      <c r="G9" s="56" t="str">
        <f t="shared" si="0"/>
        <v>Forecast 6+6</v>
      </c>
      <c r="H9" s="56" t="str">
        <f t="shared" si="0"/>
        <v>Forecast 6+6</v>
      </c>
      <c r="I9" s="56" t="str">
        <f t="shared" si="0"/>
        <v>Forecast 6+6</v>
      </c>
      <c r="J9" s="56" t="str">
        <f t="shared" si="0"/>
        <v>Forecast 6+6</v>
      </c>
      <c r="K9" s="56" t="str">
        <f t="shared" si="0"/>
        <v>Forecast 6+6</v>
      </c>
      <c r="L9" s="56" t="str">
        <f t="shared" si="0"/>
        <v>Forecast 6+6</v>
      </c>
      <c r="M9" s="56" t="str">
        <f t="shared" si="0"/>
        <v>Forecast 6+6</v>
      </c>
      <c r="N9" s="56" t="str">
        <f t="shared" si="0"/>
        <v>Forecast 6+6</v>
      </c>
      <c r="O9" s="56" t="str">
        <f t="shared" si="0"/>
        <v>Forecast 6+6</v>
      </c>
      <c r="P9" s="56" t="str">
        <f t="shared" si="0"/>
        <v>Forecast 6+6</v>
      </c>
      <c r="Q9" s="56" t="str">
        <f t="shared" si="0"/>
        <v>Forecast 6+6</v>
      </c>
      <c r="R9" s="56" t="str">
        <f t="shared" si="0"/>
        <v>Forecast 6+6</v>
      </c>
    </row>
    <row r="10" spans="1:66" x14ac:dyDescent="0.25">
      <c r="A10" s="9"/>
      <c r="B10" s="9"/>
      <c r="D10" s="57">
        <v>2021</v>
      </c>
      <c r="E10" s="21"/>
      <c r="F10" s="56" t="s">
        <v>26</v>
      </c>
      <c r="G10" s="56" t="s">
        <v>27</v>
      </c>
      <c r="H10" s="56" t="s">
        <v>28</v>
      </c>
      <c r="I10" s="56" t="s">
        <v>29</v>
      </c>
      <c r="J10" s="56" t="s">
        <v>30</v>
      </c>
      <c r="K10" s="56" t="s">
        <v>31</v>
      </c>
      <c r="L10" s="56" t="s">
        <v>32</v>
      </c>
      <c r="M10" s="56" t="s">
        <v>33</v>
      </c>
      <c r="N10" s="56" t="s">
        <v>34</v>
      </c>
      <c r="O10" s="56" t="s">
        <v>35</v>
      </c>
      <c r="P10" s="56" t="s">
        <v>36</v>
      </c>
      <c r="Q10" s="56" t="s">
        <v>37</v>
      </c>
      <c r="R10" s="57">
        <v>2022</v>
      </c>
    </row>
    <row r="11" spans="1:66" ht="15.75" x14ac:dyDescent="0.25">
      <c r="A11" s="9"/>
      <c r="B11" s="9"/>
      <c r="C11" s="47" t="s">
        <v>88</v>
      </c>
    </row>
    <row r="12" spans="1:66" x14ac:dyDescent="0.25">
      <c r="A12" s="9"/>
      <c r="B12" s="9"/>
      <c r="C12" s="48" t="s">
        <v>79</v>
      </c>
    </row>
    <row r="13" spans="1:66" x14ac:dyDescent="0.25">
      <c r="A13" s="9"/>
      <c r="B13" s="9"/>
      <c r="C13" s="49" t="s">
        <v>74</v>
      </c>
      <c r="D13" s="54">
        <v>4755714.7</v>
      </c>
      <c r="E13" s="54"/>
      <c r="F13" s="54">
        <f>'Cash Flow (Indirect)'!D36</f>
        <v>4816472.6294333329</v>
      </c>
      <c r="G13" s="54">
        <f>'Cash Flow (Indirect)'!E36</f>
        <v>5367108.1103109997</v>
      </c>
      <c r="H13" s="54">
        <f>'Cash Flow (Indirect)'!F36</f>
        <v>5572217.1689480422</v>
      </c>
      <c r="I13" s="54">
        <f>'Cash Flow (Indirect)'!G36</f>
        <v>6409664.6175625315</v>
      </c>
      <c r="J13" s="54">
        <f>'Cash Flow (Indirect)'!H36</f>
        <v>5388648.9992844183</v>
      </c>
      <c r="K13" s="54">
        <f>'Cash Flow (Indirect)'!I36</f>
        <v>4485522.2422176758</v>
      </c>
      <c r="L13" s="54">
        <f>'Cash Flow (Indirect)'!J36</f>
        <v>4501152.010041317</v>
      </c>
      <c r="M13" s="54">
        <f>'Cash Flow (Indirect)'!K36</f>
        <v>4759181.9705888228</v>
      </c>
      <c r="N13" s="54">
        <f>'Cash Flow (Indirect)'!L36</f>
        <v>5751458.6823497005</v>
      </c>
      <c r="O13" s="54">
        <f>'Cash Flow (Indirect)'!M36</f>
        <v>6527542.8337998362</v>
      </c>
      <c r="P13" s="54">
        <f>'Cash Flow (Indirect)'!N36</f>
        <v>6599303.9563107733</v>
      </c>
      <c r="Q13" s="54">
        <f>'Cash Flow (Indirect)'!O36</f>
        <v>7321124.7049103463</v>
      </c>
      <c r="R13" s="54">
        <f>Q13</f>
        <v>7321124.7049103463</v>
      </c>
    </row>
    <row r="14" spans="1:66" x14ac:dyDescent="0.25">
      <c r="A14" s="9"/>
      <c r="B14" s="9"/>
      <c r="C14" s="49" t="s">
        <v>91</v>
      </c>
      <c r="D14" s="51">
        <v>4074529.28</v>
      </c>
      <c r="E14" s="51"/>
      <c r="F14" s="51">
        <v>3993038.6943999999</v>
      </c>
      <c r="G14" s="51">
        <v>3633665.211904</v>
      </c>
      <c r="H14" s="51">
        <v>3306635.3428326403</v>
      </c>
      <c r="I14" s="51">
        <v>3009038.1619777028</v>
      </c>
      <c r="J14" s="51">
        <v>3610845.7943732431</v>
      </c>
      <c r="K14" s="51">
        <v>4333014.9532478917</v>
      </c>
      <c r="L14" s="51">
        <v>4376345.102780371</v>
      </c>
      <c r="M14" s="51">
        <v>4288818.2007247638</v>
      </c>
      <c r="N14" s="51">
        <v>4074377.2906885254</v>
      </c>
      <c r="O14" s="51">
        <v>3585452.0158059024</v>
      </c>
      <c r="P14" s="51">
        <v>4074529.28</v>
      </c>
      <c r="Q14" s="51">
        <v>4115274.5727999997</v>
      </c>
      <c r="R14" s="51">
        <f>Q14</f>
        <v>4115274.5727999997</v>
      </c>
    </row>
    <row r="15" spans="1:66" x14ac:dyDescent="0.25">
      <c r="A15" s="9"/>
      <c r="B15" s="9"/>
      <c r="C15" s="49" t="s">
        <v>92</v>
      </c>
      <c r="D15" s="51">
        <v>550000</v>
      </c>
      <c r="E15" s="51"/>
      <c r="F15" s="51">
        <v>539000</v>
      </c>
      <c r="G15" s="51">
        <v>528220</v>
      </c>
      <c r="H15" s="51">
        <v>522937.8</v>
      </c>
      <c r="I15" s="51">
        <v>512479.04399999999</v>
      </c>
      <c r="J15" s="51">
        <v>517603.83444000001</v>
      </c>
      <c r="K15" s="51">
        <v>527955.91112880001</v>
      </c>
      <c r="L15" s="51">
        <v>543794.58846266405</v>
      </c>
      <c r="M15" s="51">
        <v>549232.53434729064</v>
      </c>
      <c r="N15" s="51">
        <v>500350.83879038179</v>
      </c>
      <c r="O15" s="51">
        <v>467828.03426900698</v>
      </c>
      <c r="P15" s="51">
        <v>514610.83769590774</v>
      </c>
      <c r="Q15" s="51">
        <v>509464.72931894864</v>
      </c>
      <c r="R15" s="51">
        <f>Q15</f>
        <v>509464.72931894864</v>
      </c>
    </row>
    <row r="16" spans="1:66" x14ac:dyDescent="0.25">
      <c r="A16" s="9"/>
      <c r="B16" s="9"/>
      <c r="C16" s="49" t="s">
        <v>75</v>
      </c>
      <c r="D16" s="51">
        <v>98745</v>
      </c>
      <c r="E16" s="51"/>
      <c r="F16" s="51">
        <v>96770.099999999991</v>
      </c>
      <c r="G16" s="51">
        <v>94834.697999999989</v>
      </c>
      <c r="H16" s="51">
        <v>93886.351019999987</v>
      </c>
      <c r="I16" s="51">
        <v>92008.623999599993</v>
      </c>
      <c r="J16" s="51">
        <v>92928.710239595996</v>
      </c>
      <c r="K16" s="51">
        <v>94787.284444387915</v>
      </c>
      <c r="L16" s="51">
        <v>97630.902977719554</v>
      </c>
      <c r="M16" s="51">
        <v>98607.212007496753</v>
      </c>
      <c r="N16" s="51">
        <v>89831.170138829548</v>
      </c>
      <c r="O16" s="51">
        <v>83992.144079805628</v>
      </c>
      <c r="P16" s="51">
        <v>92391.358487786201</v>
      </c>
      <c r="Q16" s="51">
        <v>91467.444902908333</v>
      </c>
      <c r="R16" s="51">
        <f>Q16</f>
        <v>91467.444902908333</v>
      </c>
    </row>
    <row r="17" spans="1:18" x14ac:dyDescent="0.25">
      <c r="A17" s="9"/>
      <c r="B17" s="9"/>
      <c r="C17" s="49" t="s">
        <v>93</v>
      </c>
      <c r="D17" s="51">
        <v>12500</v>
      </c>
      <c r="E17" s="51"/>
      <c r="F17" s="51">
        <v>12250</v>
      </c>
      <c r="G17" s="51">
        <v>12005</v>
      </c>
      <c r="H17" s="51">
        <v>11884.95</v>
      </c>
      <c r="I17" s="51">
        <v>11647.251</v>
      </c>
      <c r="J17" s="51">
        <v>11763.72351</v>
      </c>
      <c r="K17" s="51">
        <v>11998.9979802</v>
      </c>
      <c r="L17" s="51">
        <v>12358.967919606001</v>
      </c>
      <c r="M17" s="51">
        <v>12482.557598802061</v>
      </c>
      <c r="N17" s="51">
        <v>11371.609972508679</v>
      </c>
      <c r="O17" s="51">
        <v>10632.455324295615</v>
      </c>
      <c r="P17" s="51">
        <v>11695.700856725178</v>
      </c>
      <c r="Q17" s="51">
        <v>11578.743848157927</v>
      </c>
      <c r="R17" s="51">
        <f>Q17</f>
        <v>11578.743848157927</v>
      </c>
    </row>
    <row r="18" spans="1:18" s="1" customFormat="1" x14ac:dyDescent="0.25">
      <c r="A18" s="8"/>
      <c r="B18" s="8"/>
      <c r="C18" s="48" t="s">
        <v>94</v>
      </c>
      <c r="D18" s="59">
        <f>SUM(D13:D17)</f>
        <v>9491488.9800000004</v>
      </c>
      <c r="E18" s="55"/>
      <c r="F18" s="59">
        <f>SUM(F13:F17)</f>
        <v>9457531.423833333</v>
      </c>
      <c r="G18" s="59">
        <f t="shared" ref="G18:Q18" si="1">SUM(G13:G17)</f>
        <v>9635833.020215001</v>
      </c>
      <c r="H18" s="59">
        <f t="shared" si="1"/>
        <v>9507561.6128006838</v>
      </c>
      <c r="I18" s="59">
        <f t="shared" si="1"/>
        <v>10034837.698539833</v>
      </c>
      <c r="J18" s="59">
        <f t="shared" si="1"/>
        <v>9621791.0618472584</v>
      </c>
      <c r="K18" s="59">
        <f t="shared" si="1"/>
        <v>9453279.3890189566</v>
      </c>
      <c r="L18" s="59">
        <f t="shared" si="1"/>
        <v>9531281.5721816774</v>
      </c>
      <c r="M18" s="59">
        <f t="shared" si="1"/>
        <v>9708322.4752671756</v>
      </c>
      <c r="N18" s="59">
        <f t="shared" si="1"/>
        <v>10427389.591939947</v>
      </c>
      <c r="O18" s="59">
        <f t="shared" si="1"/>
        <v>10675447.483278848</v>
      </c>
      <c r="P18" s="59">
        <f t="shared" si="1"/>
        <v>11292531.133351192</v>
      </c>
      <c r="Q18" s="59">
        <f t="shared" si="1"/>
        <v>12048910.195780361</v>
      </c>
      <c r="R18" s="59">
        <f>SUM(R13:R17)</f>
        <v>12048910.195780361</v>
      </c>
    </row>
    <row r="19" spans="1:18" x14ac:dyDescent="0.25">
      <c r="A19" s="9"/>
      <c r="B19" s="9"/>
      <c r="C19" s="49" t="s">
        <v>80</v>
      </c>
      <c r="D19" s="51">
        <v>2516000</v>
      </c>
      <c r="E19" s="51"/>
      <c r="F19" s="51">
        <v>2516000</v>
      </c>
      <c r="G19" s="51">
        <v>2516000</v>
      </c>
      <c r="H19" s="51">
        <v>2516000</v>
      </c>
      <c r="I19" s="51">
        <v>2516000</v>
      </c>
      <c r="J19" s="51">
        <v>2516000</v>
      </c>
      <c r="K19" s="51">
        <v>2516000</v>
      </c>
      <c r="L19" s="51">
        <v>2710000</v>
      </c>
      <c r="M19" s="51">
        <v>2710000</v>
      </c>
      <c r="N19" s="51">
        <v>2710000</v>
      </c>
      <c r="O19" s="51">
        <v>2710000</v>
      </c>
      <c r="P19" s="51">
        <v>2710000</v>
      </c>
      <c r="Q19" s="51">
        <v>2710000</v>
      </c>
      <c r="R19" s="51">
        <v>2710000</v>
      </c>
    </row>
    <row r="20" spans="1:18" x14ac:dyDescent="0.25">
      <c r="A20" s="9"/>
      <c r="B20" s="9"/>
      <c r="C20" s="49" t="s">
        <v>81</v>
      </c>
      <c r="D20" s="52">
        <v>-120931</v>
      </c>
      <c r="E20" s="52"/>
      <c r="F20" s="52">
        <v>-120931</v>
      </c>
      <c r="G20" s="52">
        <v>-120931</v>
      </c>
      <c r="H20" s="52">
        <v>-120931</v>
      </c>
      <c r="I20" s="52">
        <v>-120931</v>
      </c>
      <c r="J20" s="52">
        <v>-120931</v>
      </c>
      <c r="K20" s="52">
        <v>-120931</v>
      </c>
      <c r="L20" s="52">
        <v>-150931</v>
      </c>
      <c r="M20" s="52">
        <v>-150931</v>
      </c>
      <c r="N20" s="52">
        <v>-150931</v>
      </c>
      <c r="O20" s="52">
        <v>-150931</v>
      </c>
      <c r="P20" s="52">
        <v>-150931</v>
      </c>
      <c r="Q20" s="52">
        <v>-150931</v>
      </c>
      <c r="R20" s="52">
        <f>Q20</f>
        <v>-150931</v>
      </c>
    </row>
    <row r="21" spans="1:18" x14ac:dyDescent="0.25">
      <c r="A21" s="9"/>
      <c r="B21" s="9"/>
      <c r="C21" s="49" t="s">
        <v>95</v>
      </c>
      <c r="D21" s="52">
        <v>458789</v>
      </c>
      <c r="E21" s="52"/>
      <c r="F21" s="52">
        <v>458789</v>
      </c>
      <c r="G21" s="52">
        <v>458789</v>
      </c>
      <c r="H21" s="52">
        <v>458789</v>
      </c>
      <c r="I21" s="52">
        <v>458789</v>
      </c>
      <c r="J21" s="52">
        <v>458789</v>
      </c>
      <c r="K21" s="52">
        <v>458789</v>
      </c>
      <c r="L21" s="52">
        <v>458789</v>
      </c>
      <c r="M21" s="52">
        <v>458789</v>
      </c>
      <c r="N21" s="52">
        <v>458789</v>
      </c>
      <c r="O21" s="52">
        <v>458789</v>
      </c>
      <c r="P21" s="52">
        <v>458789</v>
      </c>
      <c r="Q21" s="52">
        <v>458789</v>
      </c>
      <c r="R21" s="52">
        <f>Q21</f>
        <v>458789</v>
      </c>
    </row>
    <row r="22" spans="1:18" x14ac:dyDescent="0.25">
      <c r="A22" s="9"/>
      <c r="B22" s="9"/>
      <c r="C22" s="49" t="s">
        <v>86</v>
      </c>
      <c r="D22" s="52">
        <v>12546</v>
      </c>
      <c r="E22" s="52"/>
      <c r="F22" s="52">
        <v>15000</v>
      </c>
      <c r="G22" s="52">
        <v>15000</v>
      </c>
      <c r="H22" s="52">
        <v>15000</v>
      </c>
      <c r="I22" s="52">
        <v>15000</v>
      </c>
      <c r="J22" s="52">
        <v>15000</v>
      </c>
      <c r="K22" s="52">
        <v>65000</v>
      </c>
      <c r="L22" s="52">
        <v>65000</v>
      </c>
      <c r="M22" s="52">
        <v>65000</v>
      </c>
      <c r="N22" s="52">
        <v>65000</v>
      </c>
      <c r="O22" s="52">
        <v>65000</v>
      </c>
      <c r="P22" s="52">
        <v>20000</v>
      </c>
      <c r="Q22" s="52">
        <v>20000</v>
      </c>
      <c r="R22" s="52">
        <f>Q22</f>
        <v>20000</v>
      </c>
    </row>
    <row r="23" spans="1:18" s="1" customFormat="1" x14ac:dyDescent="0.25">
      <c r="A23" s="8"/>
      <c r="B23" s="8"/>
      <c r="C23" s="1" t="s">
        <v>85</v>
      </c>
      <c r="D23" s="16">
        <f>SUM(D18:D22)</f>
        <v>12357892.98</v>
      </c>
      <c r="E23" s="53"/>
      <c r="F23" s="16">
        <f>SUM(F18:F22)</f>
        <v>12326389.423833333</v>
      </c>
      <c r="G23" s="16">
        <f t="shared" ref="G23:Q23" si="2">SUM(G18:G22)</f>
        <v>12504691.020215001</v>
      </c>
      <c r="H23" s="16">
        <f t="shared" si="2"/>
        <v>12376419.612800684</v>
      </c>
      <c r="I23" s="16">
        <f t="shared" si="2"/>
        <v>12903695.698539833</v>
      </c>
      <c r="J23" s="16">
        <f t="shared" si="2"/>
        <v>12490649.061847258</v>
      </c>
      <c r="K23" s="16">
        <f t="shared" si="2"/>
        <v>12372137.389018957</v>
      </c>
      <c r="L23" s="16">
        <f t="shared" si="2"/>
        <v>12614139.572181677</v>
      </c>
      <c r="M23" s="16">
        <f t="shared" si="2"/>
        <v>12791180.475267176</v>
      </c>
      <c r="N23" s="16">
        <f t="shared" si="2"/>
        <v>13510247.591939947</v>
      </c>
      <c r="O23" s="16">
        <f t="shared" si="2"/>
        <v>13758305.483278848</v>
      </c>
      <c r="P23" s="16">
        <f t="shared" si="2"/>
        <v>14330389.133351192</v>
      </c>
      <c r="Q23" s="16">
        <f t="shared" si="2"/>
        <v>15086768.195780361</v>
      </c>
      <c r="R23" s="16">
        <f>SUM(R18:R22)</f>
        <v>15086768.195780361</v>
      </c>
    </row>
    <row r="24" spans="1:18" s="1" customFormat="1" x14ac:dyDescent="0.25">
      <c r="A24" s="8"/>
      <c r="B24" s="8"/>
      <c r="D24" s="60" t="str">
        <f>IF((ROUNDUP(D23,0)=(ROUNDUP(SUM(D19:D22,D13:D17),0))),"F","ERROR")</f>
        <v>F</v>
      </c>
      <c r="E24" s="53"/>
      <c r="F24" s="60" t="str">
        <f t="shared" ref="F24:R24" si="3">IF((ROUNDUP(F23,0)=(ROUNDUP(SUM(F19:F22,F13:F17),0))),"F","ERROR")</f>
        <v>F</v>
      </c>
      <c r="G24" s="60" t="str">
        <f t="shared" si="3"/>
        <v>F</v>
      </c>
      <c r="H24" s="60" t="str">
        <f t="shared" si="3"/>
        <v>F</v>
      </c>
      <c r="I24" s="60" t="str">
        <f t="shared" si="3"/>
        <v>F</v>
      </c>
      <c r="J24" s="60" t="str">
        <f t="shared" si="3"/>
        <v>F</v>
      </c>
      <c r="K24" s="60" t="str">
        <f t="shared" si="3"/>
        <v>F</v>
      </c>
      <c r="L24" s="60" t="str">
        <f t="shared" si="3"/>
        <v>F</v>
      </c>
      <c r="M24" s="60" t="str">
        <f t="shared" si="3"/>
        <v>F</v>
      </c>
      <c r="N24" s="60" t="str">
        <f t="shared" si="3"/>
        <v>F</v>
      </c>
      <c r="O24" s="60" t="str">
        <f t="shared" si="3"/>
        <v>F</v>
      </c>
      <c r="P24" s="60" t="str">
        <f t="shared" si="3"/>
        <v>F</v>
      </c>
      <c r="Q24" s="60" t="str">
        <f t="shared" si="3"/>
        <v>F</v>
      </c>
      <c r="R24" s="60" t="str">
        <f t="shared" si="3"/>
        <v>F</v>
      </c>
    </row>
    <row r="25" spans="1:18" ht="15.75" x14ac:dyDescent="0.25">
      <c r="A25" s="9"/>
      <c r="B25" s="9"/>
      <c r="C25" s="47" t="s">
        <v>89</v>
      </c>
      <c r="D25" s="43"/>
      <c r="E25" s="43"/>
      <c r="F25" s="43"/>
      <c r="G25" s="43"/>
      <c r="H25" s="43"/>
      <c r="I25" s="43"/>
      <c r="J25" s="43"/>
      <c r="K25" s="43"/>
      <c r="L25" s="43"/>
      <c r="M25" s="43"/>
      <c r="N25" s="43"/>
      <c r="O25" s="43"/>
      <c r="P25" s="43"/>
      <c r="Q25" s="43"/>
      <c r="R25" s="43"/>
    </row>
    <row r="26" spans="1:18" x14ac:dyDescent="0.25">
      <c r="A26" s="9"/>
      <c r="B26" s="9"/>
      <c r="C26" s="48" t="s">
        <v>82</v>
      </c>
    </row>
    <row r="27" spans="1:18" x14ac:dyDescent="0.25">
      <c r="A27" s="9"/>
      <c r="B27" s="9"/>
      <c r="C27" s="49" t="s">
        <v>76</v>
      </c>
      <c r="D27" s="54">
        <v>2103288.6</v>
      </c>
      <c r="E27" s="54"/>
      <c r="F27" s="54">
        <v>2061222.828</v>
      </c>
      <c r="G27" s="54">
        <v>2019998.3714399999</v>
      </c>
      <c r="H27" s="54">
        <v>1999798.3877255998</v>
      </c>
      <c r="I27" s="54">
        <v>1959802.4199710877</v>
      </c>
      <c r="J27" s="54">
        <v>1979400.4441707986</v>
      </c>
      <c r="K27" s="54">
        <v>2018988.4530542146</v>
      </c>
      <c r="L27" s="54">
        <v>2079558.1066458412</v>
      </c>
      <c r="M27" s="54">
        <v>2100353.6877122996</v>
      </c>
      <c r="N27" s="54">
        <v>1913422.2095059049</v>
      </c>
      <c r="O27" s="54">
        <v>1889049.7658880199</v>
      </c>
      <c r="P27" s="54">
        <v>2077954.7424768221</v>
      </c>
      <c r="Q27" s="54">
        <v>2057175.1950520538</v>
      </c>
      <c r="R27" s="54">
        <f t="shared" ref="R27:R33" si="4">Q27</f>
        <v>2057175.1950520538</v>
      </c>
    </row>
    <row r="28" spans="1:18" x14ac:dyDescent="0.25">
      <c r="A28" s="9"/>
      <c r="B28" s="9"/>
      <c r="C28" s="49" t="s">
        <v>77</v>
      </c>
      <c r="D28" s="52">
        <v>698750</v>
      </c>
      <c r="E28" s="52"/>
      <c r="F28" s="52">
        <v>691762.5</v>
      </c>
      <c r="G28" s="52">
        <v>684844.875</v>
      </c>
      <c r="H28" s="52">
        <v>677996.42625000002</v>
      </c>
      <c r="I28" s="52">
        <v>671216.46198749996</v>
      </c>
      <c r="J28" s="52">
        <v>664504.29736762494</v>
      </c>
      <c r="K28" s="52">
        <v>657859.25439394871</v>
      </c>
      <c r="L28" s="52">
        <v>651280.66185000923</v>
      </c>
      <c r="M28" s="52">
        <v>684767.85523150896</v>
      </c>
      <c r="N28" s="52">
        <v>691615.53378382407</v>
      </c>
      <c r="O28" s="52">
        <v>731936.97491240199</v>
      </c>
      <c r="P28" s="52">
        <v>625617.60516327794</v>
      </c>
      <c r="Q28" s="52">
        <v>619361.42911164521</v>
      </c>
      <c r="R28" s="51">
        <f t="shared" si="4"/>
        <v>619361.42911164521</v>
      </c>
    </row>
    <row r="29" spans="1:18" x14ac:dyDescent="0.25">
      <c r="A29" s="9"/>
      <c r="B29" s="9"/>
      <c r="C29" s="49" t="s">
        <v>97</v>
      </c>
      <c r="D29" s="51">
        <v>1060000</v>
      </c>
      <c r="E29" s="51"/>
      <c r="F29" s="51">
        <v>905000</v>
      </c>
      <c r="G29" s="51">
        <v>905000</v>
      </c>
      <c r="H29" s="51">
        <v>905000</v>
      </c>
      <c r="I29" s="51">
        <v>860000</v>
      </c>
      <c r="J29" s="51">
        <v>860000</v>
      </c>
      <c r="K29" s="51">
        <v>860000</v>
      </c>
      <c r="L29" s="51">
        <v>860000</v>
      </c>
      <c r="M29" s="51">
        <v>860000</v>
      </c>
      <c r="N29" s="51">
        <v>860000</v>
      </c>
      <c r="O29" s="51">
        <v>860000</v>
      </c>
      <c r="P29" s="51">
        <v>860000</v>
      </c>
      <c r="Q29" s="51">
        <v>860000</v>
      </c>
      <c r="R29" s="51">
        <f t="shared" si="4"/>
        <v>860000</v>
      </c>
    </row>
    <row r="30" spans="1:18" x14ac:dyDescent="0.25">
      <c r="A30" s="9"/>
      <c r="B30" s="9"/>
      <c r="C30" s="49" t="s">
        <v>99</v>
      </c>
      <c r="D30" s="51">
        <v>451255</v>
      </c>
      <c r="E30" s="51"/>
      <c r="F30" s="51">
        <v>451255</v>
      </c>
      <c r="G30" s="51">
        <v>451255</v>
      </c>
      <c r="H30" s="51">
        <v>451255</v>
      </c>
      <c r="I30" s="51">
        <v>451255</v>
      </c>
      <c r="J30" s="51">
        <v>451255</v>
      </c>
      <c r="K30" s="51">
        <v>451255</v>
      </c>
      <c r="L30" s="51">
        <v>451255</v>
      </c>
      <c r="M30" s="51">
        <v>451255</v>
      </c>
      <c r="N30" s="51">
        <v>451255</v>
      </c>
      <c r="O30" s="51">
        <v>451255</v>
      </c>
      <c r="P30" s="51">
        <v>451255</v>
      </c>
      <c r="Q30" s="51">
        <v>451255</v>
      </c>
      <c r="R30" s="51">
        <f t="shared" si="4"/>
        <v>451255</v>
      </c>
    </row>
    <row r="31" spans="1:18" x14ac:dyDescent="0.25">
      <c r="A31" s="9"/>
      <c r="B31" s="9"/>
      <c r="C31" s="49" t="s">
        <v>78</v>
      </c>
      <c r="D31" s="51">
        <v>321555</v>
      </c>
      <c r="E31" s="51"/>
      <c r="F31" s="51">
        <v>321555</v>
      </c>
      <c r="G31" s="51">
        <v>321555</v>
      </c>
      <c r="H31" s="51">
        <v>321555</v>
      </c>
      <c r="I31" s="51">
        <v>321555</v>
      </c>
      <c r="J31" s="51">
        <v>321555</v>
      </c>
      <c r="K31" s="51">
        <v>0</v>
      </c>
      <c r="L31" s="51">
        <v>0</v>
      </c>
      <c r="M31" s="51">
        <v>0</v>
      </c>
      <c r="N31" s="51">
        <v>425000</v>
      </c>
      <c r="O31" s="51">
        <v>425000</v>
      </c>
      <c r="P31" s="51">
        <v>315000</v>
      </c>
      <c r="Q31" s="51">
        <v>315000</v>
      </c>
      <c r="R31" s="51">
        <f t="shared" si="4"/>
        <v>315000</v>
      </c>
    </row>
    <row r="32" spans="1:18" x14ac:dyDescent="0.25">
      <c r="A32" s="9"/>
      <c r="B32" s="9"/>
      <c r="C32" s="49" t="s">
        <v>98</v>
      </c>
      <c r="D32" s="51">
        <v>187730</v>
      </c>
      <c r="E32" s="51"/>
      <c r="F32" s="51">
        <v>189607.3</v>
      </c>
      <c r="G32" s="51">
        <v>193399.446</v>
      </c>
      <c r="H32" s="51">
        <v>197267.43492</v>
      </c>
      <c r="I32" s="51">
        <v>201212.78361839999</v>
      </c>
      <c r="J32" s="51">
        <v>205237.03929076801</v>
      </c>
      <c r="K32" s="51">
        <v>201132.29850495263</v>
      </c>
      <c r="L32" s="51">
        <v>197109.65253485358</v>
      </c>
      <c r="M32" s="51">
        <v>193167.45948415651</v>
      </c>
      <c r="N32" s="51">
        <v>189304.11029447339</v>
      </c>
      <c r="O32" s="51">
        <v>185518.0280885839</v>
      </c>
      <c r="P32" s="51">
        <v>181807.66752681223</v>
      </c>
      <c r="Q32" s="51">
        <v>185698</v>
      </c>
      <c r="R32" s="51">
        <f t="shared" si="4"/>
        <v>185698</v>
      </c>
    </row>
    <row r="33" spans="1:18" x14ac:dyDescent="0.25">
      <c r="A33" s="9"/>
      <c r="B33" s="9"/>
      <c r="C33" s="49" t="s">
        <v>106</v>
      </c>
      <c r="D33" s="51">
        <v>255690</v>
      </c>
      <c r="E33" s="51"/>
      <c r="F33" s="51">
        <v>245600</v>
      </c>
      <c r="G33" s="51">
        <v>253680</v>
      </c>
      <c r="H33" s="51">
        <v>256216.8</v>
      </c>
      <c r="I33" s="51">
        <v>258778.96799999999</v>
      </c>
      <c r="J33" s="51">
        <v>261366.75768000001</v>
      </c>
      <c r="K33" s="51">
        <v>263980.42525680002</v>
      </c>
      <c r="L33" s="51">
        <v>266620.22950936801</v>
      </c>
      <c r="M33" s="51">
        <v>189000</v>
      </c>
      <c r="N33" s="51">
        <v>191021</v>
      </c>
      <c r="O33" s="51">
        <v>165780</v>
      </c>
      <c r="P33" s="51">
        <v>174500</v>
      </c>
      <c r="Q33" s="51">
        <v>170678</v>
      </c>
      <c r="R33" s="51">
        <f t="shared" si="4"/>
        <v>170678</v>
      </c>
    </row>
    <row r="34" spans="1:18" x14ac:dyDescent="0.25">
      <c r="A34" s="9"/>
      <c r="B34" s="9"/>
      <c r="C34" s="48" t="s">
        <v>96</v>
      </c>
      <c r="D34" s="59">
        <f>SUM(D27:D33)</f>
        <v>5078268.5999999996</v>
      </c>
      <c r="E34" s="55"/>
      <c r="F34" s="59">
        <f>SUM(F27:F33)</f>
        <v>4866002.6279999996</v>
      </c>
      <c r="G34" s="59">
        <f t="shared" ref="G34:Q34" si="5">SUM(G27:G33)</f>
        <v>4829732.6924399994</v>
      </c>
      <c r="H34" s="59">
        <f t="shared" si="5"/>
        <v>4809089.0488955993</v>
      </c>
      <c r="I34" s="59">
        <f t="shared" si="5"/>
        <v>4723820.6335769873</v>
      </c>
      <c r="J34" s="59">
        <f t="shared" si="5"/>
        <v>4743318.5385091919</v>
      </c>
      <c r="K34" s="59">
        <f t="shared" si="5"/>
        <v>4453215.4312099162</v>
      </c>
      <c r="L34" s="59">
        <f t="shared" si="5"/>
        <v>4505823.6505400715</v>
      </c>
      <c r="M34" s="59">
        <f t="shared" si="5"/>
        <v>4478544.0024279654</v>
      </c>
      <c r="N34" s="59">
        <f t="shared" si="5"/>
        <v>4721617.8535842029</v>
      </c>
      <c r="O34" s="59">
        <f t="shared" si="5"/>
        <v>4708539.7688890053</v>
      </c>
      <c r="P34" s="59">
        <f t="shared" si="5"/>
        <v>4686135.0151669122</v>
      </c>
      <c r="Q34" s="59">
        <f t="shared" si="5"/>
        <v>4659167.6241636984</v>
      </c>
      <c r="R34" s="59">
        <f>SUM(R27:R33)</f>
        <v>4659167.6241636984</v>
      </c>
    </row>
    <row r="35" spans="1:18" x14ac:dyDescent="0.25">
      <c r="A35" s="8"/>
      <c r="B35" s="8"/>
      <c r="C35" s="49" t="s">
        <v>101</v>
      </c>
      <c r="D35" s="51">
        <v>1300000</v>
      </c>
      <c r="E35" s="51"/>
      <c r="F35" s="51">
        <v>1296500</v>
      </c>
      <c r="G35" s="51">
        <v>1293000</v>
      </c>
      <c r="H35" s="51">
        <v>1289500</v>
      </c>
      <c r="I35" s="51">
        <v>1286000</v>
      </c>
      <c r="J35" s="51">
        <v>1282500</v>
      </c>
      <c r="K35" s="51">
        <v>1279000</v>
      </c>
      <c r="L35" s="51">
        <v>1275500</v>
      </c>
      <c r="M35" s="51">
        <v>1272000</v>
      </c>
      <c r="N35" s="51">
        <v>1268500</v>
      </c>
      <c r="O35" s="51">
        <v>1265000</v>
      </c>
      <c r="P35" s="51">
        <v>1261500</v>
      </c>
      <c r="Q35" s="51">
        <v>1258000</v>
      </c>
      <c r="R35" s="51">
        <f>Q35</f>
        <v>1258000</v>
      </c>
    </row>
    <row r="36" spans="1:18" x14ac:dyDescent="0.25">
      <c r="A36" s="8"/>
      <c r="B36" s="8"/>
      <c r="C36" s="49" t="s">
        <v>102</v>
      </c>
      <c r="D36" s="51">
        <v>125000</v>
      </c>
      <c r="E36" s="51"/>
      <c r="F36" s="51">
        <v>125000</v>
      </c>
      <c r="G36" s="51">
        <v>125000</v>
      </c>
      <c r="H36" s="51">
        <v>4500</v>
      </c>
      <c r="I36" s="51">
        <v>0</v>
      </c>
      <c r="J36" s="51">
        <v>0</v>
      </c>
      <c r="K36" s="51">
        <v>0</v>
      </c>
      <c r="L36" s="51">
        <v>0</v>
      </c>
      <c r="M36" s="51">
        <v>0</v>
      </c>
      <c r="N36" s="51">
        <v>0</v>
      </c>
      <c r="O36" s="51">
        <v>0</v>
      </c>
      <c r="P36" s="51">
        <v>45000</v>
      </c>
      <c r="Q36" s="51">
        <v>45000</v>
      </c>
      <c r="R36" s="51">
        <f>Q36</f>
        <v>45000</v>
      </c>
    </row>
    <row r="37" spans="1:18" x14ac:dyDescent="0.25">
      <c r="A37" s="8"/>
      <c r="B37" s="8"/>
      <c r="C37" s="49" t="s">
        <v>103</v>
      </c>
      <c r="D37" s="51">
        <v>235400</v>
      </c>
      <c r="E37" s="51"/>
      <c r="F37" s="51">
        <v>230400</v>
      </c>
      <c r="G37" s="51">
        <f>F37-5000</f>
        <v>225400</v>
      </c>
      <c r="H37" s="51">
        <v>220400</v>
      </c>
      <c r="I37" s="51">
        <v>215400</v>
      </c>
      <c r="J37" s="51">
        <v>210400</v>
      </c>
      <c r="K37" s="51">
        <v>205400</v>
      </c>
      <c r="L37" s="51">
        <v>200400</v>
      </c>
      <c r="M37" s="51">
        <v>195400</v>
      </c>
      <c r="N37" s="51">
        <v>305400</v>
      </c>
      <c r="O37" s="51">
        <v>244800</v>
      </c>
      <c r="P37" s="51">
        <v>215656</v>
      </c>
      <c r="Q37" s="51">
        <v>244000</v>
      </c>
      <c r="R37" s="51">
        <f>Q37</f>
        <v>244000</v>
      </c>
    </row>
    <row r="38" spans="1:18" s="1" customFormat="1" x14ac:dyDescent="0.25">
      <c r="A38" s="8"/>
      <c r="B38" s="8"/>
      <c r="C38" s="1" t="s">
        <v>87</v>
      </c>
      <c r="D38" s="16">
        <f>SUM(D34:D37)</f>
        <v>6738668.5999999996</v>
      </c>
      <c r="E38" s="53"/>
      <c r="F38" s="16">
        <f>SUM(F34:F37)</f>
        <v>6517902.6279999996</v>
      </c>
      <c r="G38" s="16">
        <f t="shared" ref="G38:Q38" si="6">SUM(G34:G37)</f>
        <v>6473132.6924399994</v>
      </c>
      <c r="H38" s="16">
        <f t="shared" si="6"/>
        <v>6323489.0488955993</v>
      </c>
      <c r="I38" s="16">
        <f t="shared" si="6"/>
        <v>6225220.6335769873</v>
      </c>
      <c r="J38" s="16">
        <f t="shared" si="6"/>
        <v>6236218.5385091919</v>
      </c>
      <c r="K38" s="16">
        <f t="shared" si="6"/>
        <v>5937615.4312099162</v>
      </c>
      <c r="L38" s="16">
        <f t="shared" si="6"/>
        <v>5981723.6505400715</v>
      </c>
      <c r="M38" s="16">
        <f t="shared" si="6"/>
        <v>5945944.0024279654</v>
      </c>
      <c r="N38" s="16">
        <f t="shared" si="6"/>
        <v>6295517.8535842029</v>
      </c>
      <c r="O38" s="16">
        <f t="shared" si="6"/>
        <v>6218339.7688890053</v>
      </c>
      <c r="P38" s="16">
        <f t="shared" si="6"/>
        <v>6208291.0151669122</v>
      </c>
      <c r="Q38" s="16">
        <f t="shared" si="6"/>
        <v>6206167.6241636984</v>
      </c>
      <c r="R38" s="16">
        <f>SUM(R34:R37)</f>
        <v>6206167.6241636984</v>
      </c>
    </row>
    <row r="39" spans="1:18" s="1" customFormat="1" x14ac:dyDescent="0.25">
      <c r="A39" s="8"/>
      <c r="B39" s="8"/>
      <c r="D39" s="60" t="str">
        <f>IF((ROUNDUP(D38,0)=(ROUNDUP(SUM(D35:D37,D27:D33),0))),"F","ERROR")</f>
        <v>F</v>
      </c>
      <c r="E39" s="53"/>
      <c r="F39" s="60" t="str">
        <f t="shared" ref="F39:R39" si="7">IF((ROUNDUP(F38,0)=(ROUNDUP(SUM(F35:F37,F27:F33),0))),"F","ERROR")</f>
        <v>F</v>
      </c>
      <c r="G39" s="60" t="str">
        <f t="shared" si="7"/>
        <v>F</v>
      </c>
      <c r="H39" s="60" t="str">
        <f t="shared" si="7"/>
        <v>F</v>
      </c>
      <c r="I39" s="60" t="str">
        <f t="shared" si="7"/>
        <v>F</v>
      </c>
      <c r="J39" s="60" t="str">
        <f t="shared" si="7"/>
        <v>F</v>
      </c>
      <c r="K39" s="60" t="str">
        <f t="shared" si="7"/>
        <v>F</v>
      </c>
      <c r="L39" s="60" t="str">
        <f t="shared" si="7"/>
        <v>F</v>
      </c>
      <c r="M39" s="60" t="str">
        <f t="shared" si="7"/>
        <v>F</v>
      </c>
      <c r="N39" s="60" t="str">
        <f t="shared" si="7"/>
        <v>F</v>
      </c>
      <c r="O39" s="60" t="str">
        <f t="shared" si="7"/>
        <v>F</v>
      </c>
      <c r="P39" s="60" t="str">
        <f t="shared" si="7"/>
        <v>F</v>
      </c>
      <c r="Q39" s="60" t="str">
        <f t="shared" si="7"/>
        <v>F</v>
      </c>
      <c r="R39" s="60" t="str">
        <f t="shared" si="7"/>
        <v>F</v>
      </c>
    </row>
    <row r="40" spans="1:18" ht="15.75" x14ac:dyDescent="0.25">
      <c r="A40" s="9"/>
      <c r="B40" s="9"/>
      <c r="C40" s="47" t="s">
        <v>90</v>
      </c>
      <c r="D40" s="43"/>
      <c r="E40" s="43"/>
      <c r="F40" s="43"/>
      <c r="G40" s="43"/>
      <c r="H40" s="43"/>
      <c r="I40" s="43"/>
      <c r="J40" s="43"/>
      <c r="K40" s="43"/>
      <c r="L40" s="43"/>
      <c r="M40" s="43"/>
      <c r="N40" s="43"/>
      <c r="O40" s="43"/>
      <c r="P40" s="43"/>
      <c r="Q40" s="43"/>
      <c r="R40" s="43"/>
    </row>
    <row r="41" spans="1:18" x14ac:dyDescent="0.25">
      <c r="A41" s="8"/>
      <c r="B41" s="8"/>
      <c r="C41" s="49" t="s">
        <v>100</v>
      </c>
      <c r="D41" s="51">
        <v>4300000</v>
      </c>
      <c r="E41" s="51"/>
      <c r="F41" s="51">
        <v>4300000</v>
      </c>
      <c r="G41" s="51">
        <v>4300000</v>
      </c>
      <c r="H41" s="51">
        <v>4300000</v>
      </c>
      <c r="I41" s="51">
        <v>4800000</v>
      </c>
      <c r="J41" s="51">
        <v>4300000</v>
      </c>
      <c r="K41" s="51">
        <v>4300000</v>
      </c>
      <c r="L41" s="51">
        <v>4300000</v>
      </c>
      <c r="M41" s="51">
        <v>4300000</v>
      </c>
      <c r="N41" s="51">
        <v>4300000</v>
      </c>
      <c r="O41" s="51">
        <v>4300000</v>
      </c>
      <c r="P41" s="51">
        <v>4300000</v>
      </c>
      <c r="Q41" s="51">
        <v>4300000</v>
      </c>
      <c r="R41" s="51">
        <f>Q41</f>
        <v>4300000</v>
      </c>
    </row>
    <row r="42" spans="1:18" x14ac:dyDescent="0.25">
      <c r="A42" s="9"/>
      <c r="B42" s="9"/>
      <c r="C42" s="49" t="s">
        <v>83</v>
      </c>
      <c r="D42" s="51">
        <v>1026608.72</v>
      </c>
      <c r="E42" s="51"/>
      <c r="F42" s="51">
        <v>1215871.1358333335</v>
      </c>
      <c r="G42" s="51">
        <v>1438942.6677750007</v>
      </c>
      <c r="H42" s="51">
        <v>1460314.9039050853</v>
      </c>
      <c r="I42" s="51">
        <v>1585859.4049628444</v>
      </c>
      <c r="J42" s="51">
        <v>1661814.8633380674</v>
      </c>
      <c r="K42" s="51">
        <v>1841906.2978090395</v>
      </c>
      <c r="L42" s="51">
        <v>2039800.2616416058</v>
      </c>
      <c r="M42" s="51">
        <v>2252620.8128392091</v>
      </c>
      <c r="N42" s="51">
        <v>2622114.0783557435</v>
      </c>
      <c r="O42" s="51">
        <v>2947350.0543898428</v>
      </c>
      <c r="P42" s="51">
        <v>3529482.4581842804</v>
      </c>
      <c r="Q42" s="51">
        <v>4287984.9116166616</v>
      </c>
      <c r="R42" s="51">
        <f>Q42</f>
        <v>4287984.9116166616</v>
      </c>
    </row>
    <row r="43" spans="1:18" x14ac:dyDescent="0.25">
      <c r="A43" s="9"/>
      <c r="B43" s="9"/>
      <c r="C43" s="49" t="s">
        <v>84</v>
      </c>
      <c r="D43" s="52">
        <v>292615.66000000015</v>
      </c>
      <c r="E43" s="52"/>
      <c r="F43" s="52">
        <v>292615.66000000015</v>
      </c>
      <c r="G43" s="52">
        <v>292615.66000000015</v>
      </c>
      <c r="H43" s="52">
        <v>292615.66000000015</v>
      </c>
      <c r="I43" s="52">
        <v>292615.66000000015</v>
      </c>
      <c r="J43" s="52">
        <v>292615.66000000015</v>
      </c>
      <c r="K43" s="52">
        <v>292615.66000000015</v>
      </c>
      <c r="L43" s="52">
        <v>292615.66000000015</v>
      </c>
      <c r="M43" s="52">
        <v>292615.66000000015</v>
      </c>
      <c r="N43" s="52">
        <v>292615.66000000015</v>
      </c>
      <c r="O43" s="52">
        <v>292615.66000000015</v>
      </c>
      <c r="P43" s="52">
        <v>292615.66000000015</v>
      </c>
      <c r="Q43" s="52">
        <v>292615.66000000015</v>
      </c>
      <c r="R43" s="51">
        <f>Q43</f>
        <v>292615.66000000015</v>
      </c>
    </row>
    <row r="44" spans="1:18" x14ac:dyDescent="0.25">
      <c r="A44" s="9"/>
      <c r="B44" s="9"/>
      <c r="C44" s="1" t="s">
        <v>104</v>
      </c>
      <c r="D44" s="59">
        <f>SUM(D41:D43)</f>
        <v>5619224.3799999999</v>
      </c>
      <c r="E44" s="55"/>
      <c r="F44" s="59">
        <f t="shared" ref="F44:R44" si="8">SUM(F41:F43)</f>
        <v>5808486.7958333334</v>
      </c>
      <c r="G44" s="59">
        <f t="shared" si="8"/>
        <v>6031558.3277750006</v>
      </c>
      <c r="H44" s="59">
        <f t="shared" si="8"/>
        <v>6052930.5639050854</v>
      </c>
      <c r="I44" s="59">
        <f t="shared" si="8"/>
        <v>6678475.0649628444</v>
      </c>
      <c r="J44" s="59">
        <f t="shared" si="8"/>
        <v>6254430.5233380673</v>
      </c>
      <c r="K44" s="59">
        <f t="shared" si="8"/>
        <v>6434521.9578090394</v>
      </c>
      <c r="L44" s="59">
        <f t="shared" si="8"/>
        <v>6632415.9216416059</v>
      </c>
      <c r="M44" s="59">
        <f t="shared" si="8"/>
        <v>6845236.4728392093</v>
      </c>
      <c r="N44" s="59">
        <f t="shared" si="8"/>
        <v>7214729.7383557437</v>
      </c>
      <c r="O44" s="59">
        <f t="shared" si="8"/>
        <v>7539965.7143898429</v>
      </c>
      <c r="P44" s="59">
        <f t="shared" si="8"/>
        <v>8122098.1181842806</v>
      </c>
      <c r="Q44" s="59">
        <f t="shared" si="8"/>
        <v>8880600.5716166608</v>
      </c>
      <c r="R44" s="59">
        <f t="shared" si="8"/>
        <v>8880600.5716166608</v>
      </c>
    </row>
    <row r="45" spans="1:18" s="1" customFormat="1" ht="15.75" thickBot="1" x14ac:dyDescent="0.3">
      <c r="A45" s="8"/>
      <c r="B45" s="8"/>
      <c r="C45" s="1" t="s">
        <v>107</v>
      </c>
      <c r="D45" s="58">
        <f>D44+D38</f>
        <v>12357892.98</v>
      </c>
      <c r="E45" s="53"/>
      <c r="F45" s="58">
        <f t="shared" ref="F45:Q45" si="9">F44+F38</f>
        <v>12326389.423833333</v>
      </c>
      <c r="G45" s="58">
        <f t="shared" si="9"/>
        <v>12504691.020215001</v>
      </c>
      <c r="H45" s="58">
        <f t="shared" si="9"/>
        <v>12376419.612800684</v>
      </c>
      <c r="I45" s="58">
        <f t="shared" si="9"/>
        <v>12903695.698539831</v>
      </c>
      <c r="J45" s="58">
        <f t="shared" si="9"/>
        <v>12490649.061847258</v>
      </c>
      <c r="K45" s="58">
        <f t="shared" si="9"/>
        <v>12372137.389018957</v>
      </c>
      <c r="L45" s="58">
        <f t="shared" si="9"/>
        <v>12614139.572181677</v>
      </c>
      <c r="M45" s="58">
        <f t="shared" si="9"/>
        <v>12791180.475267176</v>
      </c>
      <c r="N45" s="58">
        <f t="shared" si="9"/>
        <v>13510247.591939947</v>
      </c>
      <c r="O45" s="58">
        <f t="shared" si="9"/>
        <v>13758305.483278848</v>
      </c>
      <c r="P45" s="58">
        <f t="shared" si="9"/>
        <v>14330389.133351192</v>
      </c>
      <c r="Q45" s="58">
        <f t="shared" si="9"/>
        <v>15086768.195780359</v>
      </c>
      <c r="R45" s="58">
        <f>R44+R38</f>
        <v>15086768.195780359</v>
      </c>
    </row>
    <row r="46" spans="1:18" ht="15.75" thickTop="1" x14ac:dyDescent="0.25">
      <c r="A46" s="9"/>
      <c r="B46" s="9"/>
      <c r="D46" s="60" t="str">
        <f>IF((ROUNDUP(D44,0)=(ROUNDUP(SUM(D41:D43),0))),"F","ERROR")</f>
        <v>F</v>
      </c>
      <c r="E46" s="53"/>
      <c r="F46" s="60" t="str">
        <f t="shared" ref="F46:R46" si="10">IF((ROUNDUP(F44,0)=(ROUNDUP(SUM(F41:F43),0))),"F","ERROR")</f>
        <v>F</v>
      </c>
      <c r="G46" s="60" t="str">
        <f t="shared" si="10"/>
        <v>F</v>
      </c>
      <c r="H46" s="60" t="str">
        <f t="shared" si="10"/>
        <v>F</v>
      </c>
      <c r="I46" s="60" t="str">
        <f t="shared" si="10"/>
        <v>F</v>
      </c>
      <c r="J46" s="60" t="str">
        <f t="shared" si="10"/>
        <v>F</v>
      </c>
      <c r="K46" s="60" t="str">
        <f t="shared" si="10"/>
        <v>F</v>
      </c>
      <c r="L46" s="60" t="str">
        <f t="shared" si="10"/>
        <v>F</v>
      </c>
      <c r="M46" s="60" t="str">
        <f t="shared" si="10"/>
        <v>F</v>
      </c>
      <c r="N46" s="60" t="str">
        <f t="shared" si="10"/>
        <v>F</v>
      </c>
      <c r="O46" s="60" t="str">
        <f t="shared" si="10"/>
        <v>F</v>
      </c>
      <c r="P46" s="60" t="str">
        <f t="shared" si="10"/>
        <v>F</v>
      </c>
      <c r="Q46" s="60" t="str">
        <f t="shared" si="10"/>
        <v>F</v>
      </c>
      <c r="R46" s="60" t="str">
        <f t="shared" si="10"/>
        <v>F</v>
      </c>
    </row>
    <row r="47" spans="1:18" x14ac:dyDescent="0.25">
      <c r="A47" s="9"/>
      <c r="B47" s="9"/>
      <c r="D47" s="51"/>
      <c r="E47" s="51"/>
      <c r="F47" s="51"/>
      <c r="G47" s="51"/>
      <c r="H47" s="51"/>
      <c r="I47" s="51"/>
      <c r="J47" s="51"/>
      <c r="K47" s="51"/>
      <c r="L47" s="51"/>
      <c r="M47" s="51"/>
      <c r="N47" s="51"/>
      <c r="O47" s="51"/>
      <c r="P47" s="51"/>
      <c r="Q47" s="51"/>
      <c r="R47" s="51"/>
    </row>
    <row r="48" spans="1:18" ht="15" customHeight="1" x14ac:dyDescent="0.25">
      <c r="A48" s="9"/>
      <c r="B48" s="9"/>
      <c r="C48" t="s">
        <v>55</v>
      </c>
      <c r="D48" s="62">
        <f>D23-D45</f>
        <v>0</v>
      </c>
      <c r="E48" s="51"/>
      <c r="F48" s="62">
        <f t="shared" ref="F48:R48" si="11">F23-F45</f>
        <v>0</v>
      </c>
      <c r="G48" s="62">
        <f t="shared" si="11"/>
        <v>0</v>
      </c>
      <c r="H48" s="62">
        <f t="shared" si="11"/>
        <v>0</v>
      </c>
      <c r="I48" s="62">
        <f t="shared" si="11"/>
        <v>0</v>
      </c>
      <c r="J48" s="62">
        <f t="shared" si="11"/>
        <v>0</v>
      </c>
      <c r="K48" s="62">
        <f t="shared" si="11"/>
        <v>0</v>
      </c>
      <c r="L48" s="62">
        <f t="shared" si="11"/>
        <v>0</v>
      </c>
      <c r="M48" s="62">
        <f t="shared" si="11"/>
        <v>0</v>
      </c>
      <c r="N48" s="62">
        <f t="shared" si="11"/>
        <v>0</v>
      </c>
      <c r="O48" s="62">
        <f t="shared" si="11"/>
        <v>0</v>
      </c>
      <c r="P48" s="62">
        <f t="shared" si="11"/>
        <v>0</v>
      </c>
      <c r="Q48" s="62">
        <f t="shared" si="11"/>
        <v>0</v>
      </c>
      <c r="R48" s="62">
        <f t="shared" si="11"/>
        <v>0</v>
      </c>
    </row>
    <row r="49" spans="1:18" ht="15" customHeight="1" x14ac:dyDescent="0.25">
      <c r="A49" s="8"/>
      <c r="B49" s="8"/>
      <c r="D49" s="61"/>
      <c r="E49" s="3"/>
      <c r="F49" s="61"/>
      <c r="G49" s="61"/>
      <c r="H49" s="61"/>
      <c r="I49" s="61"/>
      <c r="J49" s="61"/>
      <c r="K49" s="61"/>
      <c r="L49" s="61"/>
      <c r="M49" s="61"/>
      <c r="N49" s="61"/>
      <c r="O49" s="61"/>
      <c r="P49" s="61"/>
      <c r="Q49" s="61"/>
      <c r="R49" s="61"/>
    </row>
    <row r="50" spans="1:18" x14ac:dyDescent="0.25">
      <c r="A50" s="9"/>
      <c r="B50" s="9"/>
      <c r="F50" s="43"/>
      <c r="G50" s="43"/>
      <c r="H50" s="43"/>
      <c r="I50" s="43"/>
      <c r="J50" s="43"/>
      <c r="K50" s="43"/>
      <c r="L50" s="43"/>
      <c r="M50" s="43"/>
      <c r="N50" s="43"/>
      <c r="O50" s="43"/>
      <c r="P50" s="43"/>
      <c r="Q50" s="43"/>
      <c r="R50" s="43"/>
    </row>
    <row r="51" spans="1:18" x14ac:dyDescent="0.25">
      <c r="A51" s="9"/>
      <c r="B51" s="9"/>
      <c r="G51" s="3"/>
    </row>
    <row r="52" spans="1:18" x14ac:dyDescent="0.25">
      <c r="A52" s="9"/>
      <c r="B52" s="9"/>
    </row>
    <row r="53" spans="1:18" x14ac:dyDescent="0.25">
      <c r="A53" s="9"/>
      <c r="B53" s="9"/>
    </row>
    <row r="54" spans="1:18" x14ac:dyDescent="0.25">
      <c r="A54" s="9"/>
      <c r="B54" s="9"/>
    </row>
    <row r="55" spans="1:18" x14ac:dyDescent="0.25">
      <c r="A55" s="9"/>
      <c r="B55" s="9"/>
    </row>
    <row r="56" spans="1:18" x14ac:dyDescent="0.25">
      <c r="A56" s="9"/>
      <c r="B56" s="9"/>
    </row>
    <row r="57" spans="1:18" x14ac:dyDescent="0.25">
      <c r="A57" s="8"/>
      <c r="B57" s="8"/>
    </row>
    <row r="58" spans="1:18" x14ac:dyDescent="0.25">
      <c r="A58" s="9"/>
      <c r="B58" s="9"/>
    </row>
  </sheetData>
  <conditionalFormatting sqref="R3:R5">
    <cfRule type="cellIs" dxfId="0" priority="1" operator="equal">
      <formula>"Check for duplicates"</formula>
    </cfRule>
  </conditionalFormatting>
  <pageMargins left="0.7" right="0.7" top="0.75" bottom="0.75" header="0.3" footer="0.3"/>
  <pageSetup orientation="portrait" r:id="rId1"/>
  <ignoredErrors>
    <ignoredError sqref="R18 R34"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E66DDB99-9CB9-4AB1-880C-4DFF6B200C2C}">
          <x14:formula1>
            <xm:f>Drivers!$C$6:$C$13</xm:f>
          </x14:formula1>
          <xm:sqref>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36F8-8D51-4B7D-BF09-303503D71575}">
  <sheetPr>
    <tabColor rgb="FF469CA3"/>
  </sheetPr>
  <dimension ref="A1:BJ15"/>
  <sheetViews>
    <sheetView showGridLines="0" workbookViewId="0">
      <selection activeCell="D17" sqref="D17"/>
    </sheetView>
  </sheetViews>
  <sheetFormatPr defaultRowHeight="15" x14ac:dyDescent="0.25"/>
  <cols>
    <col min="1" max="1" width="4.42578125" customWidth="1"/>
    <col min="3" max="3" width="17.42578125" customWidth="1"/>
    <col min="4" max="4" width="15.42578125" bestFit="1" customWidth="1"/>
    <col min="5" max="5" width="15.140625" bestFit="1" customWidth="1"/>
  </cols>
  <sheetData>
    <row r="1" spans="1:62" s="17" customFormat="1" ht="29.25" customHeight="1" x14ac:dyDescent="0.25">
      <c r="A1" s="23"/>
      <c r="B1" s="40" t="s">
        <v>105</v>
      </c>
      <c r="C1" s="23"/>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row>
    <row r="4" spans="1:62" x14ac:dyDescent="0.25">
      <c r="C4" s="18" t="s">
        <v>53</v>
      </c>
      <c r="D4" s="18" t="s">
        <v>0</v>
      </c>
    </row>
    <row r="5" spans="1:62" x14ac:dyDescent="0.25">
      <c r="C5" t="s">
        <v>19</v>
      </c>
      <c r="D5" s="19">
        <v>0.95</v>
      </c>
    </row>
    <row r="6" spans="1:62" x14ac:dyDescent="0.25">
      <c r="C6" t="s">
        <v>23</v>
      </c>
      <c r="D6" s="20">
        <v>0.92500000000000004</v>
      </c>
    </row>
    <row r="7" spans="1:62" x14ac:dyDescent="0.25">
      <c r="C7" t="s">
        <v>43</v>
      </c>
      <c r="D7" s="19">
        <v>0.9</v>
      </c>
    </row>
    <row r="8" spans="1:62" x14ac:dyDescent="0.25">
      <c r="C8" t="s">
        <v>44</v>
      </c>
      <c r="D8" s="20">
        <v>0.875</v>
      </c>
    </row>
    <row r="9" spans="1:62" x14ac:dyDescent="0.25">
      <c r="C9" t="s">
        <v>46</v>
      </c>
      <c r="D9" s="19">
        <v>0.85</v>
      </c>
    </row>
    <row r="10" spans="1:62" x14ac:dyDescent="0.25">
      <c r="C10" t="s">
        <v>24</v>
      </c>
      <c r="D10" s="20">
        <v>0.82499999999999996</v>
      </c>
    </row>
    <row r="11" spans="1:62" x14ac:dyDescent="0.25">
      <c r="C11" t="s">
        <v>45</v>
      </c>
      <c r="D11" s="19">
        <v>0.8</v>
      </c>
    </row>
    <row r="12" spans="1:62" x14ac:dyDescent="0.25">
      <c r="C12" t="s">
        <v>22</v>
      </c>
      <c r="D12" s="20">
        <v>0.77500000000000002</v>
      </c>
    </row>
    <row r="13" spans="1:62" x14ac:dyDescent="0.25">
      <c r="C13" t="s">
        <v>167</v>
      </c>
      <c r="D13" s="19">
        <v>0.75</v>
      </c>
    </row>
    <row r="14" spans="1:62" x14ac:dyDescent="0.25">
      <c r="D14" s="20">
        <v>0.72499999999999998</v>
      </c>
    </row>
    <row r="15" spans="1:62" x14ac:dyDescent="0.25">
      <c r="D15" s="19">
        <v>0.7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ube xmlns="https://www.cubesoftware.com/1.0/CUBE_RANGES">%5B%7B%22id%22%3A%22Rd2fb8bbe_de00_459c_bb74_907581af93a2%22%2C%22name%22%3A%22Range%201%22%2C%22a1%22%3A%22B3%3AY44%22%2C%22active%22%3Atrue%2C%22permissions%22%3A%7B%22canFetch%22%3Atrue%2C%22canPublish%22%3Atrue%7D%2C%22origin%22%3A%7B%22apiRangeId%22%3Anull%2C%22companyId%22%3A%22e5ff1c11-0509-46ab-90ee-efcfd2097704%22%2C%22sheetId%22%3A%22%7BE48D508B-7F6A-4ED5-9356-AA1D873BE50D%7D%22%2C%22templateId%22%3Anull%7D%2C%22workspace%22%3A%7B%22rows%22%3A%5B%7B%22tld%22%3A7065%2C%22children%22%3A%5B7386%5D%7D%2C%7B%22tld%22%3A7402%2C%22children%22%3A%5B7408%5D%7D%2C%7B%22tld%22%3A7416%2C%22children%22%3A%5B7423%5D%7D%2C%7B%22tld%22%3A7409%2C%22children%22%3A%5B7414%5D%7D%2C%7B%22tld%22%3A7062%2C%22children%22%3A%5B24921%2C24905%2C24940%2C24924%2C24923%2C24926%2C24925%2C24927%2C24922%2C24906%2C24911%2C24910%2C24916%2C24915%2C24908%2C24912%2C24917%2C24919%2C24918%2C24913%2C24914%2C24909%2C24907%2C24931%2C24930%2C24929%2C24928%2C24920%5D%7D%5D%2C%22columns%22%3A%5B%7B%22tld%22%3A7072%2C%22children%22%3A%5B7140%2C7141%2C7145%2C7146%2C7147%2C7148%2C7150%2C7151%2C7152%2C7153%2C7159%2C7155%2C7156%2C7157%2C7158%2C7162%2C7163%5D%7D%2C%7B%22tld%22%3A7068%2C%22children%22%3A%5B7069%2C24941%5D%7D%5D%2C%22filters%22%3A%5B%5D%2C%22type%22%3A%22loadExisting%22%7D%7D%2C%7B%22id%22%3A%22R8a3f4420_5e59_4e68_825d_4b72699a8ef2%22%2C%22name%22%3A%22Range%201%22%2C%22a1%22%3A%22B5%3AO33%22%2C%22active%22%3Atrue%2C%22permissions%22%3A%7B%22canFetch%22%3Atrue%2C%22canPublish%22%3Atrue%7D%2C%22origin%22%3A%7B%22apiRangeId%22%3Anull%2C%22companyId%22%3A%224efadc6a-724d-4748-86fb-d8ae9b6cbdc9%22%2C%22sheetId%22%3A%22%7B56C96B40-FEC4-4373-9CE0-4344D456F854%7D%22%2C%22templateId%22%3Anull%7D%2C%22workspace%22%3A%7B%22type%22%3A%22loadExisting%22%2C%22rows%22%3A%5B%7B%22tld%22%3A11751%2C%22children%22%3A%5B11892%2C11893%2C11890%2C11891%2C11889%2C11888%2C11871%2C11872%2C11870%2C11869%2C11873%2C11884%2C11881%2C11882%2C11880%2C11885%2C11886%2C11879%2C11878%2C11877%2C11876%2C11875%5D%7D%5D%2C%22columns%22%3A%5B%7B%22tld%22%3A11757%2C%22children%22%3A%5B11944%5D%7D%2C%7B%22tld%22%3A11761%2C%22children%22%3A%5B11781%2C11782%2C11783%2C11785%2C11786%2C11787%2C11789%2C11790%2C11791%2C11793%2C11794%2C11795%2C11779%5D%7D%5D%2C%22filters%22%3A%5B%7B%22tld%22%3A11754%2C%22children%22%3A%5B11755%5D%2C%22parents%22%3A%5B11755%5D%7D%2C%7B%22tld%22%3A11813%2C%22children%22%3A%5B11947%5D%2C%22parents%22%3A%5B11947%5D%7D%2C%7B%22tld%22%3A11815%2C%22children%22%3A%5B11819%5D%2C%22parents%22%3A%5B11819%5D%7D%2C%7B%22tld%22%3A11817%2C%22children%22%3A%5B11824%5D%2C%22parents%22%3A%5B11824%5D%7D%5D%7D%7D%2C%7B%22id%22%3A%22R9bb43d90_ad62_4168_aa1d_860d39952a80%22%2C%22name%22%3A%22Range%201%22%2C%22a1%22%3A%22B6%3AP28%22%2C%22active%22%3Atrue%2C%22permissions%22%3A%7B%22canFetch%22%3Atrue%2C%22canPublish%22%3Atrue%7D%2C%22origin%22%3A%7B%22apiRangeId%22%3Anull%2C%22companyId%22%3A%22e5ff1c11-0509-46ab-90ee-efcfd2097704%22%2C%22sheetId%22%3A%22%7B3EB8417A-9483-4190-8488-1097809DFE4D%7D%22%2C%22templateId%22%3Anull%7D%2C%22workspace%22%3A%7B%22rows%22%3A%5B%7B%22tld%22%3A7062%2C%22children%22%3A%5B24924%2C24922%2C24906%2C24907%2C24928%2C24920%5D%7D%2C%7B%22tld%22%3A7068%2C%22children%22%3A%5B24941%2C24942%5D%7D%5D%2C%22columns%22%3A%5B%7B%22tld%22%3A7072%2C%22children%22%3A%5B7147%2C7148%2C7150%2C7151%2C7152%2C7153%2C7159%2C7155%2C7156%2C7157%2C7158%2C7162%2C7163%5D%7D%5D%2C%22filters%22%3A%5B%7B%22tld%22%3A7065%2C%22children%22%3A%5B7066%5D%2C%22parents%22%3A%5B7066%5D%7D%2C%7B%22tld%22%3A7402%2C%22children%22%3A%5B7404%5D%2C%22parents%22%3A%5B7404%5D%7D%2C%7B%22tld%22%3A7409%2C%22children%22%3A%5B7411%5D%2C%22parents%22%3A%5B7411%5D%7D%2C%7B%22tld%22%3A7416%2C%22children%22%3A%5B7418%5D%2C%22parents%22%3A%5B7418%5D%7D%5D%2C%22type%22%3A%22loadExisting%22%7D%7D%2C%7B%22id%22%3A%22R11cff92c_0429_4a24_8c4f_eee3e3f33e58%22%2C%22name%22%3A%22Range%201%22%2C%22a1%22%3A%22C6%3AR34%22%2C%22active%22%3Atrue%2C%22permissions%22%3A%7B%22canFetch%22%3Atrue%2C%22canPublish%22%3Atrue%7D%2C%22origin%22%3A%7B%22apiRangeId%22%3Anull%2C%22companyId%22%3A%2230609e5c-0dd1-4ccf-be22-a41040edef8b%22%2C%22sheetId%22%3A%22%7B56C96B40-FEC4-4373-9CE0-4344D456F854%7D%22%2C%22templateId%22%3Anull%7D%2C%22workspace%22%3A%7B%22rows%22%3A%5B%7B%22tld%22%3A34803%2C%22children%22%3A%5B34930%2C34931%2C34929%2C34928%2C34927%2C34907%2C34909%2C34906%2C34910%2C34923%2C34920%2C34921%2C34919%2C34924%2C34925%2C34918%2C34917%2C34916%2C34915%2C34914%5D%7D%5D%2C%22columns%22%3A%5B%7B%22tld%22%3A34809%2C%22children%22%3A%5B34810%2C49101%5D%7D%2C%7B%22tld%22%3A34813%2C%22children%22%3A%5B34814%2C34833%2C34834%2C34835%2C34837%2C34838%2C34839%2C34841%2C34842%2C34843%2C34845%2C34846%2C34847%5D%7D%5D%2C%22filters%22%3A%5B%7B%22tld%22%3A34806%2C%22children%22%3A%5B34807%5D%2C%22parents%22%3A%5B34807%5D%7D%2C%7B%22tld%22%3A34865%2C%22children%22%3A%5B34992%5D%2C%22parents%22%3A%5B34992%5D%7D%2C%7B%22tld%22%3A34867%2C%22children%22%3A%5B34997%5D%2C%22parents%22%3A%5B34997%5D%7D%2C%7B%22tld%22%3A34869%2C%22children%22%3A%5B35054%5D%2C%22parents%22%3A%5B35054%5D%7D%2C%7B%22tld%22%3A45063%2C%22children%22%3A%5B45074%5D%2C%22parents%22%3A%5B45074%5D%7D%5D%2C%22type%22%3A%22loadExisting%22%7D%7D%2C%7B%22id%22%3A%22R9194339a_49ff_4c0f_8adf_e4bb8aafe331%22%2C%22name%22%3A%22Range%201%22%2C%22a1%22%3A%22F6%3AV48%22%2C%22active%22%3Atrue%2C%22permissions%22%3A%7B%22canFetch%22%3Atrue%2C%22canPublish%22%3Atrue%7D%2C%22origin%22%3A%7B%22apiRangeId%22%3Anull%2C%22companyId%22%3A%2230609e5c-0dd1-4ccf-be22-a41040edef8b%22%2C%22sheetId%22%3A%22%7B841D3182-8CD9-4BDC-A1FE-F2B3FC49A9AC%7D%22%2C%22templateId%22%3Anull%7D%2C%22workspace%22%3A%7B%22rows%22%3A%5B%7B%22tld%22%3A34806%2C%22children%22%3A%5B34808%5D%7D%2C%7B%22tld%22%3A34867%2C%22children%22%3A%5B35045%5D%7D%2C%7B%22tld%22%3A34865%2C%22children%22%3A%5B34995%5D%7D%5D%2C%22columns%22%3A%5B%7B%22tld%22%3A34813%2C%22children%22%3A%5B34816%2C34817%2C34818%2C34820%2C34821%2C34822%2C34824%2C34825%2C34826%2C34828%2C34829%2C34830%5D%7D%2C%7B%22tld%22%3A34809%2C%22children%22%3A%5B44979%5D%7D%5D%2C%22filters%22%3A%5B%7B%22tld%22%3A34803%2C%22children%22%3A%5B34927%5D%2C%22parents%22%3A%5B34927%5D%7D%2C%7B%22tld%22%3A34869%2C%22children%22%3A%5B35054%5D%2C%22parents%22%3A%5B35054%5D%7D%5D%2C%22type%22%3A%22loadExisting%22%7D%7D%2C%7B%22id%22%3A%22R9722998f_5ddc_47f8_ab42_af25deec9f92%22%2C%22name%22%3A%22Range%201%22%2C%22a1%22%3A%22D6%3AW48%22%2C%22active%22%3Atrue%2C%22permissions%22%3A%7B%22canFetch%22%3Atrue%2C%22canPublish%22%3Atrue%7D%2C%22origin%22%3A%7B%22apiRangeId%22%3Anull%2C%22companyId%22%3A%2230609e5c-0dd1-4ccf-be22-a41040edef8b%22%2C%22sheetId%22%3A%22%7B788A308A-219E-4DC3-A438-762B8DDFDD6A%7D%22%2C%22templateId%22%3Anull%7D%2C%22workspace%22%3A%7B%22rows%22%3A%5B%7B%22tld%22%3A34803%2C%22children%22%3A%5B45025%2C49102%2C49104%2C45000%2C45001%2C45002%2C49103%2C49107%2C45003%2C45004%2C45008%2C45009%2C45010%2C45011%2C45012%2C45013%2C45014%2C45015%2C45016%2C45017%2C45018%2C45019%2C45020%2C49106%5D%7D%2C%7B%22tld%22%3A34806%2C%22children%22%3A%5B34808%5D%7D%2C%7B%22tld%22%3A34865%2C%22children%22%3A%5B34995%5D%7D%2C%7B%22tld%22%3A34867%2C%22children%22%3A%5B35045%5D%7D%2C%7B%22tld%22%3A45063%2C%22children%22%3A%5B45070%5D%7D%2C%7B%22tld%22%3A34869%2C%22children%22%3A%5B35117%5D%7D%5D%2C%22columns%22%3A%5B%7B%22tld%22%3A34813%2C%22children%22%3A%5B34833%2C34834%2C34835%2C34837%2C34838%2C34839%2C34841%2C34842%2C34843%2C34845%2C34846%2C34847%5D%7D%2C%7B%22tld%22%3A34809%2C%22children%22%3A%5B34986%5D%7D%5D%2C%22filters%22%3A%5B%5D%2C%22type%22%3A%22loadExisting%22%7D%7D%2C%7B%22id%22%3A%22Rf5694ddc_7fa4_4b20_8bc2_fb4eb9cb61fe%22%2C%22name%22%3A%22Range%201%22%2C%22a1%22%3A%22A1%3AB18%22%2C%22active%22%3Atrue%2C%22permissions%22%3A%7B%22canFetch%22%3Atrue%2C%22canPublish%22%3Atrue%7D%2C%22origin%22%3A%7B%22apiRangeId%22%3Anull%2C%22companyId%22%3A%2230609e5c-0dd1-4ccf-be22-a41040edef8b%22%2C%22sheetId%22%3A%22%7BFFDAF629-93E6-4A29-A754-04E12F5FA85B%7D%22%2C%22templateId%22%3Anull%7D%2C%22workspace%22%3A%7B%22type%22%3A%22buildNew%22%2C%22rows%22%3A%5B%7B%22tld%22%3A34813%2C%22children%22%3A%5B34831%2C34832%2C34833%2C34834%2C34835%2C34836%2C34837%2C34838%2C34839%2C34840%2C34841%2C34842%2C34843%2C34844%2C34845%2C34846%2C34847%5D%2C%22parents%22%3A%5B34831%5D%7D%5D%2C%22columns%22%3A%5B%7B%22tld%22%3A34803%2C%22children%22%3A%5B45025%5D%2C%22parents%22%3A%5B45025%5D%7D%5D%2C%22filters%22%3A%5B%7B%22tld%22%3A34806%2C%22children%22%3A%5B34807%5D%2C%22parents%22%3A%5B34807%5D%7D%2C%7B%22tld%22%3A34809%2C%22children%22%3A%5B44979%5D%2C%22parents%22%3A%5B44979%5D%7D%2C%7B%22tld%22%3A34865%2C%22children%22%3A%5B34992%5D%2C%22parents%22%3A%5B34992%5D%7D%2C%7B%22tld%22%3A34867%2C%22children%22%3A%5B34997%5D%2C%22parents%22%3A%5B34997%5D%7D%2C%7B%22tld%22%3A34869%2C%22children%22%3A%5B35054%5D%2C%22parents%22%3A%5B35054%5D%7D%5D%7D%7D%2C%7B%22id%22%3A%22R96564b32_9ccc_47f4_a01f_e672b363eb55%22%2C%22name%22%3A%22Range%201%22%2C%22a1%22%3A%22A1%3AB18%22%2C%22active%22%3Atrue%2C%22permissions%22%3A%7B%22canFetch%22%3Atrue%2C%22canPublish%22%3Atrue%7D%2C%22origin%22%3A%7B%22apiRangeId%22%3Anull%2C%22companyId%22%3A%2230609e5c-0dd1-4ccf-be22-a41040edef8b%22%2C%22sheetId%22%3A%22%7B5E39E762-849A-4856-A75F-27C34F5344A5%7D%22%2C%22templateId%22%3Anull%7D%2C%22workspace%22%3A%7B%22type%22%3A%22buildNew%22%2C%22rows%22%3A%5B%7B%22tld%22%3A34813%2C%22children%22%3A%5B34831%2C34832%2C34833%2C34834%2C34835%2C34836%2C34837%2C34838%2C34839%2C34840%2C34841%2C34842%2C34843%2C34844%2C34845%2C34846%2C34847%5D%2C%22parents%22%3A%5B34831%5D%7D%5D%2C%22columns%22%3A%5B%7B%22tld%22%3A34809%2C%22children%22%3A%5B44979%5D%2C%22parents%22%3A%5B44979%5D%7D%5D%2C%22filters%22%3A%5B%7B%22tld%22%3A34803%2C%22children%22%3A%5B34927%5D%2C%22parents%22%3A%5B34927%5D%7D%2C%7B%22tld%22%3A34806%2C%22children%22%3A%5B34807%5D%2C%22parents%22%3A%5B34807%5D%7D%2C%7B%22tld%22%3A34865%2C%22children%22%3A%5B34992%5D%2C%22parents%22%3A%5B34992%5D%7D%2C%7B%22tld%22%3A34867%2C%22children%22%3A%5B34997%5D%2C%22parents%22%3A%5B34997%5D%7D%2C%7B%22tld%22%3A34869%2C%22children%22%3A%5B35054%5D%2C%22parents%22%3A%5B35054%5D%7D%5D%7D%7D%2C%7B%22id%22%3A%22R83552ef8_ddbd_4ff6_9a15_692a67fc670c%22%2C%22name%22%3A%22Range%201%22%2C%22a1%22%3A%22A2%3AC21%22%2C%22active%22%3Atrue%2C%22permissions%22%3A%7B%22canFetch%22%3Atrue%2C%22canPublish%22%3Atrue%7D%2C%22origin%22%3A%7B%22apiRangeId%22%3Anull%2C%22companyId%22%3A%2230609e5c-0dd1-4ccf-be22-a41040edef8b%22%2C%22sheetId%22%3A%22%7BAAB7E0C2-7A3E-4F11-9E7A-85CF9543598C%7D%22%2C%22templateId%22%3Anull%7D%2C%22workspace%22%3A%7B%22type%22%3A%22loadExisting%22%2C%22rows%22%3A%5B%7B%22tld%22%3A34803%2C%22children%22%3A%5B45025%2C45000%2C45001%2C45002%2C45003%2C45004%2C45008%2C45009%2C45010%2C45011%2C45012%2C45013%2C45014%2C45015%2C45016%2C45017%2C45018%2C45019%2C45020%5D%7D%5D%2C%22columns%22%3A%5B%7B%22tld%22%3A34809%2C%22children%22%3A%5B34986%2C45081%5D%7D%5D%2C%22filters%22%3A%5B%7B%22tld%22%3A34806%2C%22children%22%3A%5B34807%5D%2C%22parents%22%3A%5B34807%5D%7D%2C%7B%22tld%22%3A34813%2C%22children%22%3A%5B34831%5D%2C%22parents%22%3A%5B34831%5D%7D%2C%7B%22tld%22%3A34865%2C%22children%22%3A%5B34992%5D%2C%22parents%22%3A%5B34992%5D%7D%2C%7B%22tld%22%3A34867%2C%22children%22%3A%5B34997%5D%2C%22parents%22%3A%5B34997%5D%7D%2C%7B%22tld%22%3A34869%2C%22children%22%3A%5B35054%5D%2C%22parents%22%3A%5B35054%5D%7D%2C%7B%22tld%22%3A45063%2C%22children%22%3A%5B45074%5D%2C%22parents%22%3A%5B45074%5D%7D%5D%7D%7D%2C%7B%22id%22%3A%22R9fa2bc16_a1d3_45b0_adff_930462279480%22%2C%22name%22%3A%22Range%201%22%2C%22a1%22%3A%22D7%3AQ33%22%2C%22active%22%3Atrue%2C%22permissions%22%3A%7B%22canFetch%22%3Atrue%2C%22canPublish%22%3Atrue%7D%2C%22origin%22%3A%7B%22apiRangeId%22%3Anull%2C%22companyId%22%3A%2230609e5c-0dd1-4ccf-be22-a41040edef8b%22%2C%22sheetId%22%3A%22%7B3EB8417A-9483-4190-8488-1097809DFE4D%7D%22%2C%22templateId%22%3Anull%7D%2C%22workspace%22%3A%7B%22rows%22%3A%5B%7B%22tld%22%3A34803%2C%22children%22%3A%5B45025%2C49102%2C49103%2C49107%2C49109%2C49106%2C49105%2C49108%5D%7D%2C%7B%22tld%22%3A34809%2C%22children%22%3A%5B34986%2C49101%5D%7D%5D%2C%22columns%22%3A%5B%7B%22tld%22%3A34813%2C%22children%22%3A%5B34833%2C34834%2C34835%2C34837%2C34838%2C34839%2C34841%2C34842%2C34843%2C34845%2C34846%2C34847%5D%7D%5D%2C%22filters%22%3A%5B%7B%22tld%22%3A34806%2C%22children%22%3A%5B34807%5D%2C%22parents%22%3A%5B34807%5D%7D%2C%7B%22tld%22%3A34865%2C%22children%22%3A%5B34992%5D%2C%22parents%22%3A%5B34992%5D%7D%2C%7B%22tld%22%3A34867%2C%22children%22%3A%5B34997%5D%2C%22parents%22%3A%5B34997%5D%7D%2C%7B%22tld%22%3A34869%2C%22children%22%3A%5B35054%5D%2C%22parents%22%3A%5B35054%5D%7D%2C%7B%22tld%22%3A45063%2C%22children%22%3A%5B45074%5D%2C%22parents%22%3A%5B45074%5D%7D%5D%2C%22type%22%3A%22loadExisting%22%7D%7D%2C%7B%22id%22%3A%22Rba5cded3_7c0d_43d2_92fd_07e9ed28047b%22%2C%22name%22%3A%22Range%201%22%2C%22a1%22%3A%22C7%3AV49%22%2C%22active%22%3Atrue%2C%22permissions%22%3A%7B%22canFetch%22%3Atrue%2C%22canPublish%22%3Atrue%7D%2C%22origin%22%3A%7B%22apiRangeId%22%3Anull%2C%22companyId%22%3A%2230609e5c-0dd1-4ccf-be22-a41040edef8b%22%2C%22sheetId%22%3A%22%7B976A319B-E0A6-4D86-B6C3-31FB9F13BFDF%7D%22%2C%22templateId%22%3Anull%7D%2C%22workspace%22%3A%7B%22rows%22%3A%5B%7B%22tld%22%3A34803%2C%22children%22%3A%5B45025%2C49102%2C49104%2C45000%2C45001%2C45002%2C49103%2C49107%2C45003%2C45004%2C45008%2C45009%2C45010%2C45011%2C45012%2C45013%2C45014%2C45015%2C45016%2C45017%2C49109%2C45018%2C45019%2C45020%2C49106%2C49105%2C49108%5D%7D%2C%7B%22tld%22%3A34806%2C%22children%22%3A%5B34808%5D%7D%2C%7B%22tld%22%3A34865%2C%22children%22%3A%5B34995%5D%7D%2C%7B%22tld%22%3A34867%2C%22children%22%3A%5B35045%5D%7D%2C%7B%22tld%22%3A45063%2C%22children%22%3A%5B45070%5D%7D%2C%7B%22tld%22%3A34869%2C%22children%22%3A%5B35117%5D%7D%5D%2C%22columns%22%3A%5B%7B%22tld%22%3A34813%2C%22children%22%3A%5B34833%2C34834%2C34835%2C34837%2C34838%2C34839%2C34841%2C34842%2C34843%2C34845%2C34846%2C34847%5D%7D%2C%7B%22tld%22%3A34809%2C%22children%22%3A%5B34986%5D%7D%5D%2C%22filters%22%3A%5B%5D%2C%22type%22%3A%22loadExisting%22%7D%7D%2C%7B%22id%22%3A%22Rec686482_814d_41ed_97e5_48f8f16498fb%22%2C%22name%22%3A%22Range%201%22%2C%22a1%22%3A%22A1%3AR3%22%2C%22active%22%3Atrue%2C%22permissions%22%3A%7B%22canFetch%22%3Atrue%2C%22canPublish%22%3Atrue%7D%2C%22origin%22%3A%7B%22apiRangeId%22%3Anull%2C%22companyId%22%3A%2230609e5c-0dd1-4ccf-be22-a41040edef8b%22%2C%22sheetId%22%3A%22%7BFDA03EE6-A0D0-4B3D-97C7-42194200C157%7D%22%2C%22templateId%22%3Anull%7D%2C%22workspace%22%3A%7B%22type%22%3A%22buildNew%22%2C%22currency%22%3A%22USD%22%2C%22rows%22%3A%5B%7B%22tld%22%3A34803%2C%22children%22%3A%5B45025%2C34927%5D%2C%22parents%22%3A%5B45025%2C34927%5D%7D%5D%2C%22columns%22%3A%5B%7B%22tld%22%3A34813%2C%22children%22%3A%5B34831%2C34832%2C34833%2C34834%2C34835%2C34836%2C34837%2C34838%2C34839%2C34840%2C34841%2C34842%2C34843%2C34844%2C34845%2C34846%2C34847%5D%2C%22parents%22%3A%5B34831%5D%7D%5D%2C%22filters%22%3A%5B%7B%22tld%22%3A34865%2C%22children%22%3A%5B34992%5D%2C%22parents%22%3A%5B34992%5D%7D%2C%7B%22tld%22%3A34806%2C%22children%22%3A%5B34807%5D%2C%22parents%22%3A%5B34807%5D%7D%2C%7B%22tld%22%3A34809%2C%22children%22%3A%5B49101%5D%2C%22parents%22%3A%5B49101%5D%7D%2C%7B%22tld%22%3A34867%2C%22children%22%3A%5B34997%5D%2C%22parents%22%3A%5B34997%5D%7D%2C%7B%22tld%22%3A34869%2C%22children%22%3A%5B35054%5D%2C%22parents%22%3A%5B35054%5D%7D%2C%7B%22tld%22%3A45063%2C%22children%22%3A%5B45074%5D%2C%22parents%22%3A%5B45074%5D%7D%5D%7D%7D%2C%7B%22id%22%3A%22Rb19b3849_bfd3_416a_923f_54df55967e43%22%2C%22name%22%3A%22Range%201%22%2C%22a1%22%3A%22A1%3AR9%22%2C%22active%22%3Atrue%2C%22permissions%22%3A%7B%22canFetch%22%3Atrue%2C%22canPublish%22%3Atrue%7D%2C%22origin%22%3A%7B%22apiRangeId%22%3Anull%2C%22companyId%22%3A%2230609e5c-0dd1-4ccf-be22-a41040edef8b%22%2C%22sheetId%22%3A%22%7B0F8726AC-1BA6-4EAB-AA70-8DB15BC988E4%7D%22%2C%22templateId%22%3Anull%7D%2C%22workspace%22%3A%7B%22type%22%3A%22buildNew%22%2C%22currency%22%3A%22USD%22%2C%22rows%22%3A%5B%7B%22tld%22%3A34803%2C%22children%22%3A%5B34949%2C34952%2C34951%2C34953%2C34950%2C45000%2C45025%2C34927%5D%2C%22parents%22%3A%5B34949%2C45000%2C45025%2C34927%5D%7D%5D%2C%22columns%22%3A%5B%7B%22tld%22%3A34813%2C%22children%22%3A%5B34831%2C34832%2C34833%2C34834%2C34835%2C34836%2C34837%2C34838%2C34839%2C34840%2C34841%2C34842%2C34843%2C34844%2C34845%2C34846%2C34847%5D%2C%22parents%22%3A%5B34831%5D%7D%5D%2C%22filters%22%3A%5B%7B%22tld%22%3A34806%2C%22children%22%3A%5B34807%5D%2C%22parents%22%3A%5B34807%5D%7D%2C%7B%22tld%22%3A34809%2C%22children%22%3A%5B45081%5D%2C%22parents%22%3A%5B45081%5D%7D%2C%7B%22tld%22%3A34865%2C%22children%22%3A%5B34992%5D%2C%22parents%22%3A%5B34992%5D%7D%2C%7B%22tld%22%3A34867%2C%22children%22%3A%5B34997%5D%2C%22parents%22%3A%5B34997%5D%7D%2C%7B%22tld%22%3A34869%2C%22children%22%3A%5B35054%5D%2C%22parents%22%3A%5B35054%5D%7D%2C%7B%22tld%22%3A45063%2C%22children%22%3A%5B45074%5D%2C%22parents%22%3A%5B45074%5D%7D%5D%7D%7D%2C%7B%22id%22%3A%22R5bfb8496_da1c_40af_9073_431ec22f02b5%22%2C%22name%22%3A%22Range%201%22%2C%22a1%22%3A%22A1%3AS22%22%2C%22active%22%3Atrue%2C%22permissions%22%3A%7B%22canFetch%22%3Atrue%2C%22canPublish%22%3Atrue%7D%2C%22origin%22%3A%7B%22apiRangeId%22%3Anull%2C%22companyId%22%3A%2230609e5c-0dd1-4ccf-be22-a41040edef8b%22%2C%22sheetId%22%3A%22%7B9B8FFEFC-A64A-4101-AF53-908CDFC0473C%7D%22%2C%22templateId%22%3Anull%7D%2C%22workspace%22%3A%7B%22type%22%3A%22buildNew%22%2C%22currency%22%3A%22USD%22%2C%22rows%22%3A%5B%7B%22tld%22%3A34803%2C%22children%22%3A%5B34805%2C34871%2C34873%2C34875%2C34874%2C34876%2C34877%2C34872%2C34883%2C34884%2C34885%2C45089%2C34886%2C34887%2C34888%2C34879%2C34882%2C34881%2C34880%2C34878%5D%2C%22parents%22%3A%5B34805%5D%7D%5D%2C%22columns%22%3A%5B%7B%22tld%22%3A34809%2C%22children%22%3A%5B34810%5D%2C%22parents%22%3A%5B34810%5D%7D%2C%7B%22tld%22%3A34813%2C%22children%22%3A%5B34814%2C34815%2C34816%2C34817%2C34818%2C34819%2C34820%2C34821%2C34822%2C34823%2C34824%2C34825%2C34826%2C34827%2C34828%2C34829%2C34830%2C44981%5D%2C%22parents%22%3A%5B34814%2C44981%5D%7D%5D%2C%22filters%22%3A%5B%7B%22tld%22%3A34806%2C%22children%22%3A%5B34807%5D%2C%22parents%22%3A%5B34807%5D%7D%2C%7B%22tld%22%3A34865%2C%22children%22%3A%5B34992%5D%2C%22parents%22%3A%5B34992%5D%7D%2C%7B%22tld%22%3A34867%2C%22children%22%3A%5B34997%5D%2C%22parents%22%3A%5B34997%5D%7D%2C%7B%22tld%22%3A34869%2C%22children%22%3A%5B35054%5D%2C%22parents%22%3A%5B35054%5D%7D%2C%7B%22tld%22%3A45063%2C%22children%22%3A%5B45074%5D%2C%22parents%22%3A%5B45074%5D%7D%5D%7D%7D%2C%7B%22id%22%3A%22Rd1c37351_7278_43c6_b4cf_99a5c561f6cf%22%2C%22name%22%3A%22Range%201%22%2C%22a1%22%3A%22A1%3AR16%22%2C%22active%22%3Atrue%2C%22permissions%22%3A%7B%22canFetch%22%3Atrue%2C%22canPublish%22%3Atrue%7D%2C%22origin%22%3A%7B%22apiRangeId%22%3Anull%2C%22companyId%22%3A%2230609e5c-0dd1-4ccf-be22-a41040edef8b%22%2C%22sheetId%22%3A%22%7B55DD086C-89F7-42B2-9DF5-AFF2B52B5244%7D%22%2C%22templateId%22%3Anull%7D%2C%22workspace%22%3A%7B%22type%22%3A%22buildNew%22%2C%22currency%22%3A%22USD%22%2C%22rows%22%3A%5B%7B%22tld%22%3A34803%2C%22children%22%3A%5B34889%2C34899%2C34902%2C34900%2C34901%2C34903%2C34896%2C34897%2C34898%2C34893%2C34894%2C34895%2C34890%2C34891%2C34892%5D%2C%22parents%22%3A%5B34889%5D%7D%5D%2C%22columns%22%3A%5B%7B%22tld%22%3A34813%2C%22children%22%3A%5B34814%2C34815%2C34816%2C34817%2C34818%2C34819%2C34820%2C34821%2C34822%2C34823%2C34824%2C34825%2C34826%2C34827%2C34828%2C34829%2C34830%5D%2C%22parents%22%3A%5B34814%5D%7D%5D%2C%22filters%22%3A%5B%7B%22tld%22%3A34806%2C%22children%22%3A%5B34807%5D%2C%22parents%22%3A%5B34807%5D%7D%2C%7B%22tld%22%3A34809%2C%22children%22%3A%5B34810%5D%2C%22parents%22%3A%5B34810%5D%7D%2C%7B%22tld%22%3A34865%2C%22children%22%3A%5B34992%5D%2C%22parents%22%3A%5B34992%5D%7D%2C%7B%22tld%22%3A34867%2C%22children%22%3A%5B34997%5D%2C%22parents%22%3A%5B34997%5D%7D%2C%7B%22tld%22%3A34869%2C%22children%22%3A%5B35054%5D%2C%22parents%22%3A%5B35054%5D%7D%2C%7B%22tld%22%3A45063%2C%22children%22%3A%5B45074%5D%2C%22parents%22%3A%5B45074%5D%7D%5D%7D%7D%5D</Cube>
</file>

<file path=customXml/item2.xml><?xml version="1.0" encoding="utf-8"?>
<Cube xmlns="https://www.cubesoftware.com/1.0/CUBE_DATA">%5B%7B%22id%22%3A%2255fac27c-9f0a-4904-8de3-a5166dde3ae4%22%2C%22completed_at%22%3A%222022-06-01T21%3A08%3A32.994Z%22%2C%22companyId%22%3A%2230609e5c-0dd1-4ccf-be22-a41040edef8b%22%2C%22created_at%22%3A%222022-06-01T21%3A08%3A30.778Z%22%2C%22rangeId%22%3A%22R11cff92c_0429_4a24_8c4f_eee3e3f33e58%22%2C%22sheetId%22%3A%22%7B56C96B40-FEC4-4373-9CE0-4344D456F854%7D%22%2C%22status%22%3A%22SUCCESS%22%2C%22type%22%3A%22FETCH%22%7D%2C%7B%22id%22%3A%2263659ea4-9c07-4fda-ae51-f436a95727c8%22%2C%22completed_at%22%3A%222022-06-01T21%3A16%3A00.794Z%22%2C%22companyId%22%3A%2230609e5c-0dd1-4ccf-be22-a41040edef8b%22%2C%22created_at%22%3A%222022-06-01T21%3A15%3A59.217Z%22%2C%22rangeId%22%3A%22R11cff92c_0429_4a24_8c4f_eee3e3f33e58%22%2C%22sheetId%22%3A%22%7B56C96B40-FEC4-4373-9CE0-4344D456F854%7D%22%2C%22status%22%3A%22SUCCESS%22%2C%22type%22%3A%22FETCH%22%7D%2C%7B%22id%22%3A%224fd03280-4d44-49de-a22a-2e09e67d5e12%22%2C%22completed_at%22%3A%222022-06-01T21%3A17%3A40.067Z%22%2C%22companyId%22%3A%2230609e5c-0dd1-4ccf-be22-a41040edef8b%22%2C%22created_at%22%3A%222022-06-01T21%3A17%3A39.078Z%22%2C%22rangeId%22%3A%22R9fa2bc16_a1d3_45b0_adff_930462279480%22%2C%22sheetId%22%3A%22%7B3EB8417A-9483-4190-8488-1097809DFE4D%7D%22%2C%22status%22%3A%22SUCCESS%22%2C%22type%22%3A%22FETCH%22%7D%2C%7B%22id%22%3A%22a5d97bca-a629-43d3-bf99-b9d1e4a331e1%22%2C%22completed_at%22%3A%222022-06-01T21%3A18%3A26.480Z%22%2C%22companyId%22%3A%2230609e5c-0dd1-4ccf-be22-a41040edef8b%22%2C%22created_at%22%3A%222022-06-01T21%3A18%3A24.994Z%22%2C%22rangeId%22%3A%22R11cff92c_0429_4a24_8c4f_eee3e3f33e58%22%2C%22sheetId%22%3A%22%7B56C96B40-FEC4-4373-9CE0-4344D456F854%7D%22%2C%22status%22%3A%22SUCCESS%22%2C%22type%22%3A%22FETCH%22%7D%2C%7B%22id%22%3A%2219d28fa2-daac-41ad-afa4-fcb7ad1a5d6a%22%2C%22completed_at%22%3A%222022-06-01T21%3A22%3A16.006Z%22%2C%22companyId%22%3A%2230609e5c-0dd1-4ccf-be22-a41040edef8b%22%2C%22created_at%22%3A%222022-06-01T21%3A22%3A15.076Z%22%2C%22rangeId%22%3A%22R9fa2bc16_a1d3_45b0_adff_930462279480%22%2C%22sheetId%22%3A%22%7B3EB8417A-9483-4190-8488-1097809DFE4D%7D%22%2C%22status%22%3A%22SUCCESS%22%2C%22type%22%3A%22FETCH%22%7D%2C%7B%22id%22%3A%22cbfcdfea-5796-4ce5-96f2-4ad4818e273e%22%2C%22completed_at%22%3A%222022-06-01T21%3A25%3A41.568Z%22%2C%22companyId%22%3A%2230609e5c-0dd1-4ccf-be22-a41040edef8b%22%2C%22created_at%22%3A%222022-06-01T21%3A25%3A40.619Z%22%2C%22rangeId%22%3A%22R9fa2bc16_a1d3_45b0_adff_930462279480%22%2C%22sheetId%22%3A%22%7B3EB8417A-9483-4190-8488-1097809DFE4D%7D%22%2C%22status%22%3A%22SUCCESS%22%2C%22type%22%3A%22FETCH%22%7D%2C%7B%22id%22%3A%2277eab5df-31c7-4453-ad6c-c040717664c6%22%2C%22completed_at%22%3A%222022-06-16T17%3A21%3A43.448Z%22%2C%22companyId%22%3A%2230609e5c-0dd1-4ccf-be22-a41040edef8b%22%2C%22created_at%22%3A%222022-06-16T17%3A21%3A41.062Z%22%2C%22rangeId%22%3A%22R11cff92c_0429_4a24_8c4f_eee3e3f33e58%22%2C%22sheetId%22%3A%22%7B56C96B40-FEC4-4373-9CE0-4344D456F854%7D%22%2C%22status%22%3A%22SUCCESS%22%2C%22type%22%3A%22FETCH%22%7D%2C%7B%22id%22%3A%228360b7f9-7106-4756-9641-64a3316402d9%22%2C%22completed_at%22%3A%222022-06-16T22%3A11%3A57.872Z%22%2C%22companyId%22%3A%2230609e5c-0dd1-4ccf-be22-a41040edef8b%22%2C%22created_at%22%3A%222022-06-16T22%3A11%3A56.202Z%22%2C%22rangeId%22%3A%22R11cff92c_0429_4a24_8c4f_eee3e3f33e58%22%2C%22sheetId%22%3A%22%7B56C96B40-FEC4-4373-9CE0-4344D456F854%7D%22%2C%22status%22%3A%22SUCCESS%22%2C%22type%22%3A%22FETCH%22%7D%2C%7B%22id%22%3A%22f450a268-d15b-4c93-a2c8-20286cd95a9b%22%2C%22completed_at%22%3A%222022-06-16T22%3A16%3A45.794Z%22%2C%22companyId%22%3A%2230609e5c-0dd1-4ccf-be22-a41040edef8b%22%2C%22created_at%22%3A%222022-06-16T22%3A16%3A44.012Z%22%2C%22rangeId%22%3A%22R5bfb8496_da1c_40af_9073_431ec22f02b5%22%2C%22sheetId%22%3A%22%7B9B8FFEFC-A64A-4101-AF53-908CDFC0473C%7D%22%2C%22status%22%3A%22SUCCESS%22%2C%22type%22%3A%22FETCH%22%7D%2C%7B%22id%22%3A%2272c4b8be-04b2-4fa3-bf5b-9cb7715d9138%22%2C%22completed_at%22%3A%222022-06-17T17%3A48%3A29.149Z%22%2C%22companyId%22%3A%2230609e5c-0dd1-4ccf-be22-a41040edef8b%22%2C%22created_at%22%3A%222022-06-17T17%3A48%3A27.312Z%22%2C%22rangeId%22%3A%22Rd1c37351_7278_43c6_b4cf_99a5c561f6cf%22%2C%22sheetId%22%3A%22%7B55DD086C-89F7-42B2-9DF5-AFF2B52B5244%7D%22%2C%22status%22%3A%22SUCCESS%22%2C%22type%22%3A%22FETCH%22%7D%5D</Cube>
</file>

<file path=customXml/itemProps1.xml><?xml version="1.0" encoding="utf-8"?>
<ds:datastoreItem xmlns:ds="http://schemas.openxmlformats.org/officeDocument/2006/customXml" ds:itemID="{B271EE8A-B9A0-4DD0-8756-1D5459B85BC2}">
  <ds:schemaRefs>
    <ds:schemaRef ds:uri="https://www.cubesoftware.com/1.0/CUBE_RANGES"/>
  </ds:schemaRefs>
</ds:datastoreItem>
</file>

<file path=customXml/itemProps2.xml><?xml version="1.0" encoding="utf-8"?>
<ds:datastoreItem xmlns:ds="http://schemas.openxmlformats.org/officeDocument/2006/customXml" ds:itemID="{51716B24-461D-47DB-AEC7-FD6965B1756B}">
  <ds:schemaRefs>
    <ds:schemaRef ds:uri="https://www.cubesoftware.com/1.0/CUBE_DAT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About</vt:lpstr>
      <vt:lpstr>Cash Flow (Indirect)</vt:lpstr>
      <vt:lpstr>Detailed Cash Flow</vt:lpstr>
      <vt:lpstr>Supporting Information &gt;&gt;</vt:lpstr>
      <vt:lpstr>P&amp;L</vt:lpstr>
      <vt:lpstr>Balance Sheet</vt:lpstr>
      <vt:lpstr>Drivers</vt:lpstr>
      <vt:lpstr>'P&amp;L'!Cube_Columns_R11cff92c_0429_4a24_8c4f_eee3e3f33e58</vt:lpstr>
      <vt:lpstr>'Balance Sheet'!Cube_Columns_R5bfb8496_da1c_40af_9073_431ec22f02b5</vt:lpstr>
      <vt:lpstr>'P&amp;L'!Cube_Columns_R8a3f4420_5e59_4e68_825d_4b72699a8ef2</vt:lpstr>
      <vt:lpstr>'Cash Flow (Indirect)'!Cube_Columns_R9194339a_49ff_4c0f_8adf_e4bb8aafe331</vt:lpstr>
      <vt:lpstr>'Detailed Cash Flow'!Cube_Columns_R9194339a_49ff_4c0f_8adf_e4bb8aafe331</vt:lpstr>
      <vt:lpstr>'Cash Flow (Indirect)'!Cube_Columns_R9722998f_5ddc_47f8_ab42_af25deec9f92</vt:lpstr>
      <vt:lpstr>'Detailed Cash Flow'!Cube_Columns_R9722998f_5ddc_47f8_ab42_af25deec9f92</vt:lpstr>
      <vt:lpstr>'Cash Flow (Indirect)'!Cube_Columns_Rba5cded3_7c0d_43d2_92fd_07e9ed28047b</vt:lpstr>
      <vt:lpstr>'Detailed Cash Flow'!Cube_Columns_Rba5cded3_7c0d_43d2_92fd_07e9ed28047b</vt:lpstr>
      <vt:lpstr>'Cash Flow (Indirect)'!Cube_Columns_Rd2fb8bbe_de00_459c_bb74_907581af93a2</vt:lpstr>
      <vt:lpstr>'Detailed Cash Flow'!Cube_Columns_Rd2fb8bbe_de00_459c_bb74_907581af93a2</vt:lpstr>
      <vt:lpstr>'P&amp;L'!Cube_Overall_R11cff92c_0429_4a24_8c4f_eee3e3f33e58</vt:lpstr>
      <vt:lpstr>'Balance Sheet'!Cube_Overall_R5bfb8496_da1c_40af_9073_431ec22f02b5</vt:lpstr>
      <vt:lpstr>'P&amp;L'!Cube_Overall_R8a3f4420_5e59_4e68_825d_4b72699a8ef2</vt:lpstr>
      <vt:lpstr>'Cash Flow (Indirect)'!Cube_Overall_R9194339a_49ff_4c0f_8adf_e4bb8aafe331</vt:lpstr>
      <vt:lpstr>'Detailed Cash Flow'!Cube_Overall_R9194339a_49ff_4c0f_8adf_e4bb8aafe331</vt:lpstr>
      <vt:lpstr>'Cash Flow (Indirect)'!Cube_Overall_R9722998f_5ddc_47f8_ab42_af25deec9f92</vt:lpstr>
      <vt:lpstr>'Detailed Cash Flow'!Cube_Overall_R9722998f_5ddc_47f8_ab42_af25deec9f92</vt:lpstr>
      <vt:lpstr>'Cash Flow (Indirect)'!Cube_Overall_Rba5cded3_7c0d_43d2_92fd_07e9ed28047b</vt:lpstr>
      <vt:lpstr>'Detailed Cash Flow'!Cube_Overall_Rba5cded3_7c0d_43d2_92fd_07e9ed28047b</vt:lpstr>
      <vt:lpstr>'Cash Flow (Indirect)'!Cube_Overall_Rd2fb8bbe_de00_459c_bb74_907581af93a2</vt:lpstr>
      <vt:lpstr>'Detailed Cash Flow'!Cube_Overall_Rd2fb8bbe_de00_459c_bb74_907581af93a2</vt:lpstr>
      <vt:lpstr>'P&amp;L'!Cube_Rows_R11cff92c_0429_4a24_8c4f_eee3e3f33e58</vt:lpstr>
      <vt:lpstr>'Balance Sheet'!Cube_Rows_R5bfb8496_da1c_40af_9073_431ec22f02b5</vt:lpstr>
      <vt:lpstr>'P&amp;L'!Cube_Rows_R8a3f4420_5e59_4e68_825d_4b72699a8ef2</vt:lpstr>
      <vt:lpstr>'Cash Flow (Indirect)'!Cube_Rows_R9722998f_5ddc_47f8_ab42_af25deec9f92</vt:lpstr>
      <vt:lpstr>'Detailed Cash Flow'!Cube_Rows_R9722998f_5ddc_47f8_ab42_af25deec9f92</vt:lpstr>
      <vt:lpstr>'Cash Flow (Indirect)'!Cube_Rows_Rba5cded3_7c0d_43d2_92fd_07e9ed28047b</vt:lpstr>
      <vt:lpstr>'Detailed Cash Flow'!Cube_Rows_Rba5cded3_7c0d_43d2_92fd_07e9ed28047b</vt:lpstr>
      <vt:lpstr>ForecastVersion</vt:lpstr>
      <vt:lpstr>'Cash Flow (Indirect)'!Print_Area</vt:lpstr>
      <vt:lpstr>'Detailed Cash Flow'!Print_Area</vt:lpstr>
      <vt:lpstr>Scenario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Cube</cp:lastModifiedBy>
  <dcterms:created xsi:type="dcterms:W3CDTF">2021-10-26T15:42:01Z</dcterms:created>
  <dcterms:modified xsi:type="dcterms:W3CDTF">2022-07-28T18:32:05Z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be-CUBE_RANGES">
    <vt:lpwstr>{B271EE8A-B9A0-4DD0-8756-1D5459B85BC2}</vt:lpwstr>
  </property>
  <property fmtid="{D5CDD505-2E9C-101B-9397-08002B2CF9AE}" pid="3" name="cube-CUBE_DATA">
    <vt:lpwstr>{51716B24-461D-47DB-AEC7-FD6965B1756B}</vt:lpwstr>
  </property>
</Properties>
</file>